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866" activeTab="0"/>
  </bookViews>
  <sheets>
    <sheet name="Cover" sheetId="1" r:id="rId1"/>
    <sheet name="Impact Matrix" sheetId="2" r:id="rId2"/>
    <sheet name="Summary" sheetId="3" r:id="rId3"/>
    <sheet name="Inputs" sheetId="4" r:id="rId4"/>
    <sheet name="Deflator" sheetId="5" r:id="rId5"/>
    <sheet name="Globalplex Cargo Tons" sheetId="6" r:id="rId6"/>
    <sheet name="Globalplex TEU" sheetId="7" r:id="rId7"/>
    <sheet name="Avoided Truck Miles" sheetId="8" r:id="rId8"/>
    <sheet name="Truck Travel Time Savings" sheetId="9" r:id="rId9"/>
    <sheet name="Fuel Savings" sheetId="10" state="hidden" r:id="rId10"/>
    <sheet name="Reduced Truck Emissions" sheetId="11" r:id="rId11"/>
    <sheet name="SAF1" sheetId="12" r:id="rId12"/>
    <sheet name="SOGR1" sheetId="13" r:id="rId13"/>
    <sheet name="EC2" sheetId="14" r:id="rId14"/>
    <sheet name="EC1" sheetId="15" r:id="rId15"/>
    <sheet name="EC3" sheetId="16" r:id="rId16"/>
    <sheet name="EP1" sheetId="17" r:id="rId17"/>
    <sheet name="Cost Estimates" sheetId="18" r:id="rId18"/>
    <sheet name="Costs" sheetId="19" r:id="rId19"/>
    <sheet name="O&amp;M" sheetId="20" r:id="rId20"/>
    <sheet name="Capital Expenditure" sheetId="21" r:id="rId21"/>
    <sheet name="JobYears Created" sheetId="22" r:id="rId22"/>
    <sheet name="T29 Socioeconomics" sheetId="23" state="hidden" r:id="rId23"/>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fn.GAMMA.DIST" hidden="1">#NAME?</definedName>
    <definedName name="Pal_Workbook_GUID" hidden="1">"6ZKFAW5P2CCVRP8VRCKLCYPR"</definedName>
    <definedName name="_xlnm.Print_Area" localSheetId="17">'Cost Estimates'!#REF!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fullCalcOnLoad="1"/>
</workbook>
</file>

<file path=xl/sharedStrings.xml><?xml version="1.0" encoding="utf-8"?>
<sst xmlns="http://schemas.openxmlformats.org/spreadsheetml/2006/main" count="1641" uniqueCount="532">
  <si>
    <t>Total</t>
  </si>
  <si>
    <t>Year</t>
  </si>
  <si>
    <t>Total Benefits</t>
  </si>
  <si>
    <t>Project Life Cycle (years)</t>
  </si>
  <si>
    <t>Parameters used to estimate the BCA Score</t>
  </si>
  <si>
    <t>Value</t>
  </si>
  <si>
    <t>Fuel Savings (Gallons)</t>
  </si>
  <si>
    <t>TOTAL</t>
  </si>
  <si>
    <t>Quality of Life</t>
  </si>
  <si>
    <t>1st Quarter - 2017</t>
  </si>
  <si>
    <t>2nd Quarter - 2017</t>
  </si>
  <si>
    <t>Benefit Discount Rate (Percent)</t>
  </si>
  <si>
    <t>DP03: SELECTED ECONOMIC CHARACTERISTICS</t>
  </si>
  <si>
    <t>Subject</t>
  </si>
  <si>
    <t>United States</t>
  </si>
  <si>
    <t>Louisiana</t>
  </si>
  <si>
    <t>    Civilian labor force</t>
  </si>
  <si>
    <t>      Percent Unemployed</t>
  </si>
  <si>
    <t>INDUSTRY</t>
  </si>
  <si>
    <t>    Civilian employed population 16 years and over</t>
  </si>
  <si>
    <t>      Agriculture, forestry, fishing and hunting, and mining</t>
  </si>
  <si>
    <t>      Construction</t>
  </si>
  <si>
    <t>      Manufacturing</t>
  </si>
  <si>
    <t>      Wholesale trade</t>
  </si>
  <si>
    <t>      Retail trade</t>
  </si>
  <si>
    <t>      Transportation and warehousing, and utilities</t>
  </si>
  <si>
    <t>      Information</t>
  </si>
  <si>
    <t>      Finance and insurance, and real estate and rental and leasing</t>
  </si>
  <si>
    <t>      Professional, scientific, and management, and administrative and waste management services</t>
  </si>
  <si>
    <t>      Educational services, and health care and social assistance</t>
  </si>
  <si>
    <t>      Arts, entertainment, and recreation, and accommodation and food services</t>
  </si>
  <si>
    <t>      Other services, except public administration</t>
  </si>
  <si>
    <t>      Public administration</t>
  </si>
  <si>
    <t>      Median household income (dollars)</t>
  </si>
  <si>
    <t>      Per capita income (dollars)</t>
  </si>
  <si>
    <t>Total Population</t>
  </si>
  <si>
    <t xml:space="preserve">Percent of All People in Poverty </t>
  </si>
  <si>
    <t/>
  </si>
  <si>
    <t>Total Immediate Project Area</t>
  </si>
  <si>
    <t>Census Tract 706</t>
  </si>
  <si>
    <t>Census Tract 707</t>
  </si>
  <si>
    <t>Census Tract 708</t>
  </si>
  <si>
    <t>St. Charles Parish</t>
  </si>
  <si>
    <t>St. James Parish</t>
  </si>
  <si>
    <t>St. John the Baptist Parish</t>
  </si>
  <si>
    <t>Job-year Creation</t>
  </si>
  <si>
    <t>Direct &amp; Indirect Job-years</t>
  </si>
  <si>
    <t>Induced Job-years</t>
  </si>
  <si>
    <t>St. Charles Parish, Louisiana</t>
  </si>
  <si>
    <t>St. James Parish, Louisiana</t>
  </si>
  <si>
    <t>St. John the Baptist Parish, Louisiana</t>
  </si>
  <si>
    <t>Census Tract 706, St. John the Baptist Parish, Louisiana</t>
  </si>
  <si>
    <t>Census Tract 707, St. John the Baptist Parish, Louisiana</t>
  </si>
  <si>
    <t>Census Tract 708, St. John the Baptist Parish, Louisiana</t>
  </si>
  <si>
    <t>Total Adjacent Census Tracts</t>
  </si>
  <si>
    <t xml:space="preserve">    Total population</t>
  </si>
  <si>
    <t>White</t>
  </si>
  <si>
    <t xml:space="preserve">Percentage White </t>
  </si>
  <si>
    <t>Non White</t>
  </si>
  <si>
    <t>Percentage Non-White</t>
  </si>
  <si>
    <t>Hispanic or Latino (of any race)</t>
  </si>
  <si>
    <t>Percentage Hispanic or Latino</t>
  </si>
  <si>
    <t>Access Bridge</t>
  </si>
  <si>
    <t>Residual Value</t>
  </si>
  <si>
    <t>Project Year</t>
  </si>
  <si>
    <t>Benefits</t>
  </si>
  <si>
    <t>Exports</t>
  </si>
  <si>
    <t>Imports</t>
  </si>
  <si>
    <t>Shipments</t>
  </si>
  <si>
    <t>Receipts</t>
  </si>
  <si>
    <t>Foreign</t>
  </si>
  <si>
    <t>Domestic</t>
  </si>
  <si>
    <t>5 year Growth Rate (12-16)</t>
  </si>
  <si>
    <t>10 Year Growth Rate (07-16)</t>
  </si>
  <si>
    <t>N/A</t>
  </si>
  <si>
    <t>3 year Growth Rate (14-16)</t>
  </si>
  <si>
    <t>Number of Trucks (Existing)</t>
  </si>
  <si>
    <t>Number of Trucks (New Access Bridge)</t>
  </si>
  <si>
    <t>VMT (Existing)</t>
  </si>
  <si>
    <t>VMT (New Access Bridge)</t>
  </si>
  <si>
    <t>Reduced VMT</t>
  </si>
  <si>
    <t>Distance Trucks Travel loading/unloading (Existing)</t>
  </si>
  <si>
    <t>Distance Trucks Travel loading/unloading (New Access Bridge)</t>
  </si>
  <si>
    <t>Time to Load 1 Truck (Existing, in Minutes)</t>
  </si>
  <si>
    <t>Time to Load 1 Truck (New Access Bridge, in Minutes)</t>
  </si>
  <si>
    <t>Reduced Truck VMT</t>
  </si>
  <si>
    <t>Reduction in Truck VMT</t>
  </si>
  <si>
    <t>Existing Truck VMT</t>
  </si>
  <si>
    <t>Useful Life</t>
  </si>
  <si>
    <t>Component</t>
  </si>
  <si>
    <t>PDO Accident</t>
  </si>
  <si>
    <t xml:space="preserve">Injury Accidents </t>
  </si>
  <si>
    <t xml:space="preserve">Fatal Accidents </t>
  </si>
  <si>
    <t>AIS 1</t>
  </si>
  <si>
    <t>AIS 2</t>
  </si>
  <si>
    <t>AIS 3</t>
  </si>
  <si>
    <t>AIS 4</t>
  </si>
  <si>
    <t>AIS 5</t>
  </si>
  <si>
    <t>AIS 6</t>
  </si>
  <si>
    <t xml:space="preserve">Value of Crashes </t>
  </si>
  <si>
    <t>Large Truck Accident per VMT</t>
  </si>
  <si>
    <t>Injury Crashes by AIS Likeliness</t>
  </si>
  <si>
    <t>Fatality Crashes by AIS Likeliness</t>
  </si>
  <si>
    <t>Total Cost per VMT</t>
  </si>
  <si>
    <t>Item Description</t>
  </si>
  <si>
    <t>Quantity</t>
  </si>
  <si>
    <t>Unit of Measure</t>
  </si>
  <si>
    <t>Unit Cost</t>
  </si>
  <si>
    <t>Item Total</t>
  </si>
  <si>
    <t xml:space="preserve">Railing </t>
  </si>
  <si>
    <t>Lump</t>
  </si>
  <si>
    <t>120' Long Piles</t>
  </si>
  <si>
    <t>Each</t>
  </si>
  <si>
    <t>Bents</t>
  </si>
  <si>
    <t>8" Slabs</t>
  </si>
  <si>
    <t>70' Girders</t>
  </si>
  <si>
    <t>Incidentals</t>
  </si>
  <si>
    <t>Contingency (10%)</t>
  </si>
  <si>
    <t>Subtotal – Access Bridge Construction</t>
  </si>
  <si>
    <t>Subtotal – Access Bridge Design</t>
  </si>
  <si>
    <t>Contingency (25%)</t>
  </si>
  <si>
    <t>Contingency</t>
  </si>
  <si>
    <t xml:space="preserve">PROJECT TOTAL: </t>
  </si>
  <si>
    <t>Design</t>
  </si>
  <si>
    <t>Construction</t>
  </si>
  <si>
    <t>2011-2015 American Community Survey 5-Year Estimates</t>
  </si>
  <si>
    <t xml:space="preserve">Economically Distressed Threshold </t>
  </si>
  <si>
    <t>Households</t>
  </si>
  <si>
    <t>Costs</t>
  </si>
  <si>
    <t>Total Inbound (Short Tons)</t>
  </si>
  <si>
    <t>Total Outbound (Short Tons)</t>
  </si>
  <si>
    <t>Grand Total (Short Tons)</t>
  </si>
  <si>
    <t xml:space="preserve">Small trucks transporting cargo from the dock to warehouses and staging facilities are loaded only partially full due to the low capacity of the existing dock access bridge. In the event of maintenance, there is no other access to the dock. </t>
  </si>
  <si>
    <t xml:space="preserve">A second dock access bridge is constructed with the ability to withstand heavier hauls, such as large, fully loaded trucks. </t>
  </si>
  <si>
    <t>Input</t>
  </si>
  <si>
    <t xml:space="preserve">TOTAL: </t>
  </si>
  <si>
    <t>TOTAL:</t>
  </si>
  <si>
    <t xml:space="preserve">Design </t>
  </si>
  <si>
    <t>1st Quarter - 2019</t>
  </si>
  <si>
    <t>2nd Quarter - 2019</t>
  </si>
  <si>
    <t>3rd Quarter - 2019</t>
  </si>
  <si>
    <t>4th Quarter - 2019</t>
  </si>
  <si>
    <t>New Truck VMT</t>
  </si>
  <si>
    <t>Total Undiscounted Residual Value</t>
  </si>
  <si>
    <t>Access Road with Ramp</t>
  </si>
  <si>
    <t>Subtotal – Inter-facility Access Road Construction</t>
  </si>
  <si>
    <t>Subtotal – Inter-facility Access Road Design</t>
  </si>
  <si>
    <t>Subtotal- Access Bridge</t>
  </si>
  <si>
    <t>TOTAL – Access Bridge &amp; Road Construction</t>
  </si>
  <si>
    <t>TOTAL – Access Bridge &amp; Road Design</t>
  </si>
  <si>
    <t>TOTAL- Access Bridge &amp; Road</t>
  </si>
  <si>
    <t>Access Bridge &amp; Inter-facilty Heavy-Load Access Road</t>
  </si>
  <si>
    <t>Item</t>
  </si>
  <si>
    <t>TIGER Funds</t>
  </si>
  <si>
    <t>Match Funds</t>
  </si>
  <si>
    <t>Amount</t>
  </si>
  <si>
    <t>%</t>
  </si>
  <si>
    <t>Source</t>
  </si>
  <si>
    <t>Engineering</t>
  </si>
  <si>
    <t>and Design</t>
  </si>
  <si>
    <t>Total Funding Amount</t>
  </si>
  <si>
    <t>% of Total</t>
  </si>
  <si>
    <t>Requested TIGER Funding</t>
  </si>
  <si>
    <t>TOTAL PROJECT COST</t>
  </si>
  <si>
    <t>Project Costs</t>
  </si>
  <si>
    <t>Totals</t>
  </si>
  <si>
    <t>Design/NEPA</t>
  </si>
  <si>
    <t>TOTALS</t>
  </si>
  <si>
    <t>Project Total</t>
  </si>
  <si>
    <t>Table 2: Globalplex Intermodal Efficiency Improvements Project TIGER and Matching Funds</t>
  </si>
  <si>
    <t>Table 14: Project Schedule - Spending</t>
  </si>
  <si>
    <t>Per capita income (dollars)</t>
  </si>
  <si>
    <t>Table 1: Area Population Demographics</t>
  </si>
  <si>
    <t>Topic</t>
  </si>
  <si>
    <t>Male</t>
  </si>
  <si>
    <t>Female</t>
  </si>
  <si>
    <t>Black</t>
  </si>
  <si>
    <t>American Indian/Alaska Native</t>
  </si>
  <si>
    <t>Asian</t>
  </si>
  <si>
    <t>Native Hawaiian/Pacific Islander</t>
  </si>
  <si>
    <t>Two or more races</t>
  </si>
  <si>
    <t>Hispanic</t>
  </si>
  <si>
    <t>High School Graduate or Higher</t>
  </si>
  <si>
    <t>Bachelor’s Degree or Higher</t>
  </si>
  <si>
    <t>Persons in Poverty</t>
  </si>
  <si>
    <t>Source:  US Census Bureau, 2015 ACS 5-year Estimates</t>
  </si>
  <si>
    <t>Travel Time 
(Existing flow of cargo, in Minutes)</t>
  </si>
  <si>
    <t>Travel Time 
(New Access Bridge, in Minutes)</t>
  </si>
  <si>
    <t>Total Travel Time 
(Existing, In Minutes)</t>
  </si>
  <si>
    <t>Total Travel Time (New Access bridge, In Minutes)</t>
  </si>
  <si>
    <t>Travel Time Savings (Minutes)</t>
  </si>
  <si>
    <t>Average Miles per Gallon (Heavy Duty Trucks)</t>
  </si>
  <si>
    <t>Existing NOx (Short Tons)</t>
  </si>
  <si>
    <t>Existing VOCs (Short Tons)</t>
  </si>
  <si>
    <t>Existing CO (Short Tons)</t>
  </si>
  <si>
    <t>Existing PM (Short Tons)</t>
  </si>
  <si>
    <t>New Nox (Short Tons)</t>
  </si>
  <si>
    <t>new VOCs (Short Tons)</t>
  </si>
  <si>
    <t>New CO 
(Short Tons)</t>
  </si>
  <si>
    <t>New PM 
(Short Tons)</t>
  </si>
  <si>
    <t>Reduction in Nox 
(Short Tons)</t>
  </si>
  <si>
    <t>Reduction in VOCs 
(Short Tons)</t>
  </si>
  <si>
    <t>Reduction in CO 
(Short Tons)</t>
  </si>
  <si>
    <t>Reduction in PM 
(Short Tons)</t>
  </si>
  <si>
    <t>3% Discount Rate</t>
  </si>
  <si>
    <t>Detailed Cost Estimate</t>
  </si>
  <si>
    <t>Container Terminal Upgrades &amp; Laydown Yard</t>
  </si>
  <si>
    <t xml:space="preserve">Wheeled reefer plugs </t>
  </si>
  <si>
    <t>ea</t>
  </si>
  <si>
    <t>CY paving (wheeled)</t>
  </si>
  <si>
    <t>acre</t>
  </si>
  <si>
    <t>CY paving rehab</t>
  </si>
  <si>
    <t xml:space="preserve">TOS and IT </t>
  </si>
  <si>
    <t>Buildings (maint+admin)</t>
  </si>
  <si>
    <t>sf</t>
  </si>
  <si>
    <t>TOTAL- Laydown Yard</t>
  </si>
  <si>
    <t>Rail Spurs &amp; Rail Connection</t>
  </si>
  <si>
    <t>New Track</t>
  </si>
  <si>
    <t>Lin Ft</t>
  </si>
  <si>
    <t>#11 Switches</t>
  </si>
  <si>
    <t>#9 Switches</t>
  </si>
  <si>
    <t>Embankment</t>
  </si>
  <si>
    <t>cu yd.</t>
  </si>
  <si>
    <t>lump</t>
  </si>
  <si>
    <t>TOTAL – Rail Construction</t>
  </si>
  <si>
    <t>TOTAL – Rail Design</t>
  </si>
  <si>
    <t>TOTAL- Rail</t>
  </si>
  <si>
    <t>TOTAL PROJECT - DESIGN</t>
  </si>
  <si>
    <t>TOTAL PROJECT - CONSTRUCTION</t>
  </si>
  <si>
    <t>Spending - Percentage of Estimate</t>
  </si>
  <si>
    <t>Capital Costs per Year</t>
  </si>
  <si>
    <t xml:space="preserve">Year </t>
  </si>
  <si>
    <t>Total Capital Costs</t>
  </si>
  <si>
    <t>Total Capital Costs - Discounted - 3%</t>
  </si>
  <si>
    <t>Total Capital Costs - Discounted - 7%</t>
  </si>
  <si>
    <t>Access Bridge &amp; Road</t>
  </si>
  <si>
    <t>Laydown Yard</t>
  </si>
  <si>
    <t>Rail</t>
  </si>
  <si>
    <t xml:space="preserve">Total </t>
  </si>
  <si>
    <t>Total Inbound (TEU)</t>
  </si>
  <si>
    <t>Total Outbound (TEU)</t>
  </si>
  <si>
    <t>Grand Total (TEU)</t>
  </si>
  <si>
    <t>Cargo (TEU)</t>
  </si>
  <si>
    <t xml:space="preserve">Number of Trucks (New Access Bridges) </t>
  </si>
  <si>
    <t xml:space="preserve">Average TEU per truck - Current </t>
  </si>
  <si>
    <t>Avearge TEU per truck - New Access Bridge</t>
  </si>
  <si>
    <t>Reduced Non-Container Cargo VMT</t>
  </si>
  <si>
    <t>Reduced Container Crago VMT</t>
  </si>
  <si>
    <t>Heavy Cargo (Eqiupment) Occurances Per Year</t>
  </si>
  <si>
    <t>Occurances of Heavy Cargo - Currently Turned Down - Per Year</t>
  </si>
  <si>
    <t>VMY (Existing Condition)</t>
  </si>
  <si>
    <t>Reduced Heavy Cargoes VMT</t>
  </si>
  <si>
    <t>Containerized Cargo (Interim Facility)</t>
  </si>
  <si>
    <t>Heavy Cargo (Equipment)</t>
  </si>
  <si>
    <t xml:space="preserve">Reduced VMT due to a closer dock. Reduced safety concerns due to avoiding the heavy cargoes on the roadways. </t>
  </si>
  <si>
    <t>Laydown</t>
  </si>
  <si>
    <t>1st Quarter - 2020</t>
  </si>
  <si>
    <t>2nd Quarter - 2020</t>
  </si>
  <si>
    <t>3rd Quarter - 2020</t>
  </si>
  <si>
    <t>4th Quarter - 2020</t>
  </si>
  <si>
    <t>1st Quarter - 2021</t>
  </si>
  <si>
    <t>2nd Quarter - 2021</t>
  </si>
  <si>
    <t>3rd Quarter - 2021</t>
  </si>
  <si>
    <t>4th Quarter - 2021</t>
  </si>
  <si>
    <t>Rail Tonnage (Existing)</t>
  </si>
  <si>
    <t>Rail Tonnage (With project)</t>
  </si>
  <si>
    <t>Cargo by truck (Short tons)</t>
  </si>
  <si>
    <t>Number of Trucks (With project)</t>
  </si>
  <si>
    <t>VMT (With Project)</t>
  </si>
  <si>
    <t>Google Maps - Distance PONO to Norco</t>
  </si>
  <si>
    <t>Google Maps - Distance POSL to Norco</t>
  </si>
  <si>
    <t>US DOT RITA Table 4-13</t>
  </si>
  <si>
    <t>Average Miles per Gallon Heavy Duty Trucks</t>
  </si>
  <si>
    <t>Heavy Cargo - Baseline</t>
  </si>
  <si>
    <t>Heavy Cargo - New Access Bridge</t>
  </si>
  <si>
    <t>https://www.bls.gov/oes/current/oes_nat.htm#53-0000</t>
  </si>
  <si>
    <t xml:space="preserve"> https://crashstats.nhtsa.dot.gov/Api/Public/ViewPublication/812373</t>
  </si>
  <si>
    <t>7% Discount Rate</t>
  </si>
  <si>
    <t>Capital Cost</t>
  </si>
  <si>
    <t>Total Costs</t>
  </si>
  <si>
    <t>Safety Benefits</t>
  </si>
  <si>
    <t>Reduced Roadway Fatalities and Crashes</t>
  </si>
  <si>
    <t>Sub-Total</t>
  </si>
  <si>
    <t>State of Good Repair Benefits</t>
  </si>
  <si>
    <t>Roadway Maintenance Savings</t>
  </si>
  <si>
    <t>Economic Competitiveness Benefits</t>
  </si>
  <si>
    <t>Travel Time Savings</t>
  </si>
  <si>
    <t>Residual Savings</t>
  </si>
  <si>
    <t>Environmental Protection</t>
  </si>
  <si>
    <t>Emissions Savings</t>
  </si>
  <si>
    <t>Net Operating &amp; Maintenance Costs</t>
  </si>
  <si>
    <t>Outcome</t>
  </si>
  <si>
    <t>Net Present Value</t>
  </si>
  <si>
    <t>Benefit-Cost Ratio</t>
  </si>
  <si>
    <t>3% Discounted Reduced Maintenance Cost</t>
  </si>
  <si>
    <t>7 % Discounted Reduced Maintenance Cost</t>
  </si>
  <si>
    <t>3% Discounted Large Truck , Reduction in Crash Costs</t>
  </si>
  <si>
    <t>7% Discounted Large Truck , Reduction in Crash Costs</t>
  </si>
  <si>
    <t>Total 3% Discounted Residual Value</t>
  </si>
  <si>
    <t>Total 7% Discounted Residual Value</t>
  </si>
  <si>
    <t>Current Status/Baseline &amp; Problem to be Addressed</t>
  </si>
  <si>
    <t>Change to Baseline or Alternatives</t>
  </si>
  <si>
    <t>Types of Impacts</t>
  </si>
  <si>
    <t>General</t>
  </si>
  <si>
    <t>Deflator</t>
  </si>
  <si>
    <t>https://www.whitehouse.gov/sites/whitehouse.gov/files/omb/budget/fy2018/hist10z1.xls</t>
  </si>
  <si>
    <t>Roadway Maintenance Cost (2017$/mi)</t>
  </si>
  <si>
    <t xml:space="preserve">VOC Value of Emissions (2017$) per short ton </t>
  </si>
  <si>
    <t xml:space="preserve">NOx Value of Emissions (2017$) per short ton </t>
  </si>
  <si>
    <t xml:space="preserve">PM Value of Emissions (2017$) per short ton </t>
  </si>
  <si>
    <t xml:space="preserve">SOx Value of Emissions (2017$) per short ton </t>
  </si>
  <si>
    <t>Conversion rate for Metric tons to Short Tons</t>
  </si>
  <si>
    <t>AIS 0 (2017$) per vehicle</t>
  </si>
  <si>
    <t>AIS 1 (2017$)</t>
  </si>
  <si>
    <t>AIS 2 (2017$)</t>
  </si>
  <si>
    <t>AIS 3 (2017$)</t>
  </si>
  <si>
    <t>AIS 4 (2017$)</t>
  </si>
  <si>
    <t>AIS 5 (2017$)</t>
  </si>
  <si>
    <t>AIS 6 (2017$)</t>
  </si>
  <si>
    <t>See "Deflator" Sheet</t>
  </si>
  <si>
    <t>Base Year Dollar</t>
  </si>
  <si>
    <t>Discount Year</t>
  </si>
  <si>
    <t>Table 10.1 - GROSS DOMESTIC PRODUCT AND DEFLATORS USED IN THE HISTORICAL TABLES:  1940 - 2023</t>
  </si>
  <si>
    <t>(Fiscal Year 2009 = 1.000)</t>
  </si>
  <si>
    <t>Fiscal Year</t>
  </si>
  <si>
    <t>GDP (in
billions of
dollars)</t>
  </si>
  <si>
    <t>GDP
(Chained)
Price Index</t>
  </si>
  <si>
    <t>Composite Outlay Deflators</t>
  </si>
  <si>
    <t>Total
Defense</t>
  </si>
  <si>
    <t>Total
Nondefense</t>
  </si>
  <si>
    <t>Payment for Individuals</t>
  </si>
  <si>
    <t>Other
Grants</t>
  </si>
  <si>
    <t>Net Interest</t>
  </si>
  <si>
    <t>Undis-
tributed
Offsetting
Receipts</t>
  </si>
  <si>
    <t>All Other</t>
  </si>
  <si>
    <t>Addendum: Direct Capital</t>
  </si>
  <si>
    <t>Direct</t>
  </si>
  <si>
    <t>Grants</t>
  </si>
  <si>
    <t>Defense</t>
  </si>
  <si>
    <t>Nondefense</t>
  </si>
  <si>
    <t>TQ</t>
  </si>
  <si>
    <t>2018 estimate</t>
  </si>
  <si>
    <t>2019 estimate</t>
  </si>
  <si>
    <t>2020 estimate</t>
  </si>
  <si>
    <t>2021 estimate</t>
  </si>
  <si>
    <t>2022 estimate</t>
  </si>
  <si>
    <t>2023 estimate</t>
  </si>
  <si>
    <t>Note: Constant dollar research and development outlays are based on the GDP (chained) price index.</t>
  </si>
  <si>
    <t>Downloaded 5/31/18</t>
  </si>
  <si>
    <t>U.S. average price of gallon of diesel from the Energy Information Agency (as of July 8, 2018)</t>
  </si>
  <si>
    <t>Average price of gallon of diesel fuel</t>
  </si>
  <si>
    <t>Non-Containerized Cargo (Via Truck)</t>
  </si>
  <si>
    <t>Non-Containerized Cargo (Diverted to Rail)</t>
  </si>
  <si>
    <t>Value of Time Per Hour (US$ 2017)</t>
  </si>
  <si>
    <t>Travel Times Savings (US$ 2017)</t>
  </si>
  <si>
    <t>3% Discounted Travel Times Savings</t>
  </si>
  <si>
    <t>7% Discounted Travel Times Savings</t>
  </si>
  <si>
    <t>3% Discounted Reduced Truck Emissions Costs</t>
  </si>
  <si>
    <t>7% Discounted Reduced Truck Emissions Costs</t>
  </si>
  <si>
    <t>Social Cost of PM 
(US$ 2017)</t>
  </si>
  <si>
    <t>Undiscounted Reduced Truck Emissions Costs 
(US$ 2017)</t>
  </si>
  <si>
    <t>Social Cost of VOCs 
(US$ 2017)</t>
  </si>
  <si>
    <t>Social cost of Nox 
(US$ 2017)</t>
  </si>
  <si>
    <t>Undiscounted Large Truck , Reduction in Crash Costs 
(US$ 2017)</t>
  </si>
  <si>
    <t>Subtotal - Inter-facility Access Road</t>
  </si>
  <si>
    <t xml:space="preserve">TOTAL – Laydown Yard Construction </t>
  </si>
  <si>
    <t>TOTAL – Lay Down Yard Design</t>
  </si>
  <si>
    <t>BCA Summary</t>
  </si>
  <si>
    <t>Project components will have a useful life longer than the analysis period</t>
  </si>
  <si>
    <t>Type of asset</t>
  </si>
  <si>
    <t>Service life (years)</t>
  </si>
  <si>
    <t>Industrial buildings</t>
  </si>
  <si>
    <t>Mobile offices/17/</t>
  </si>
  <si>
    <t>Office buildings/17/</t>
  </si>
  <si>
    <t>Commercial warehouses/17/</t>
  </si>
  <si>
    <t>Other commercial buildings/17/</t>
  </si>
  <si>
    <t>Religious buildings</t>
  </si>
  <si>
    <t>Educational buildings</t>
  </si>
  <si>
    <t>Hospital and institutional buildings</t>
  </si>
  <si>
    <t>Hotels and motels/18/</t>
  </si>
  <si>
    <t>Amusement and recreational buildings/18/</t>
  </si>
  <si>
    <t>All other nonfarm buildings/18/,/19/</t>
  </si>
  <si>
    <t>Railroad replacement track/19//20/</t>
  </si>
  <si>
    <t>Other railroad structures/19//20/</t>
  </si>
  <si>
    <t>Telecommunications/20/</t>
  </si>
  <si>
    <t>Railroad equipment*</t>
  </si>
  <si>
    <t>Highways and streets</t>
  </si>
  <si>
    <t>Conservation and development</t>
  </si>
  <si>
    <t>Sewer systems</t>
  </si>
  <si>
    <t>Water systems</t>
  </si>
  <si>
    <t>Military facilities</t>
  </si>
  <si>
    <t>Other</t>
  </si>
  <si>
    <t>Source: BEA Rate of Depreciation, Service Lives, Declining-Balance Rates, and Hulten-Wykoff Categories</t>
  </si>
  <si>
    <t>http://www.bea.gov/scb/account_articles/national/wlth2594/tableC.htm</t>
  </si>
  <si>
    <t>Bridge structures</t>
  </si>
  <si>
    <t>Source: USDOT Bridge Preservation guide, Maintaining a State of Good Repair Using Cost Effective Investment Strategies, August 2011, page 2</t>
  </si>
  <si>
    <t>https://www.google.com/url?sa=t&amp;rct=j&amp;q=&amp;esrc=s&amp;source=web&amp;cd=1&amp;cad=rja&amp;uact=8&amp;ved=0ahUKEwiv-8XR8cLLAhVV5WMKHYZ6Ap8QFggcMAA&amp;url=http%3A%2F%2Fwww.fhwa.dot.gov%2Fbridge%2Fpreservation%2Fguide%2Fguide.pdf&amp;usg=AFQjCNEf26d_7T9a9n7jxVGGtwyGvq2zQg&amp;sig2=Z8jY2-M9fT0zre_vXvSplg&amp;bvm=bv.116954456,d.cGc</t>
  </si>
  <si>
    <t>FTA Circulator 5010.1D Grant Management Requirements 2008, https://cms.fta.dot.gov/funding/grant-programs/capital-investments/fta-circular-50101d-november-2008</t>
  </si>
  <si>
    <t>Highway Maintenance Cost per VMT (US$2017)</t>
  </si>
  <si>
    <t>Net Operations &amp; Maintenance Cost</t>
  </si>
  <si>
    <t>3% Discounted - Net Operations &amp; Maintenance Cost</t>
  </si>
  <si>
    <t>7% Discounted - Net Operations &amp; Maintenance Cost</t>
  </si>
  <si>
    <t>O&amp;M Costs, net new annual costs, Interim Container Facility</t>
  </si>
  <si>
    <t>EDA Grant, Container Terminal Study, POSL (Includes Maintenance, Energy, Fixed &amp; Variable Labor Costs)</t>
  </si>
  <si>
    <t>VTTS - Truck Drivers</t>
  </si>
  <si>
    <t>2018 BUILD Resource Guide</t>
  </si>
  <si>
    <t>2019 BUILD Resource Guide</t>
  </si>
  <si>
    <t>2020 BUILD Resource Guide</t>
  </si>
  <si>
    <t>VTTS - Crane Operations - BLS Crane and Tower Operators - Median Hourly Wages (2017$)</t>
  </si>
  <si>
    <t>VTTS - Locomotive Engineers</t>
  </si>
  <si>
    <t>VTTS - All Business</t>
  </si>
  <si>
    <t>Vehicle Occupancy - Trucks</t>
  </si>
  <si>
    <t>Vehicle occupancy - Passenger Vehciles</t>
  </si>
  <si>
    <t xml:space="preserve">Recommended Value per Mile (2017$) - 2018 BUILD Resource Guide (includes fuel costs, truck lease, maintence, etc) </t>
  </si>
  <si>
    <t>Reduced Truck Operating Cost (US$ 2017)</t>
  </si>
  <si>
    <t>3% Discounted Reduced Truck Operating Cost</t>
  </si>
  <si>
    <t>7 % Discounted Reduced Truck Operating Cost</t>
  </si>
  <si>
    <t>Truck Operating Cost Savings (Inc. Fuel)</t>
  </si>
  <si>
    <t>Safety</t>
  </si>
  <si>
    <t>State of Good Repair</t>
  </si>
  <si>
    <t>Economic Competitiveness</t>
  </si>
  <si>
    <t>2019 Q1</t>
  </si>
  <si>
    <t>2019 Q2</t>
  </si>
  <si>
    <t>2019 Q3</t>
  </si>
  <si>
    <t>2019 Q4</t>
  </si>
  <si>
    <t>2019 Total</t>
  </si>
  <si>
    <t xml:space="preserve">2020 Q1 </t>
  </si>
  <si>
    <t xml:space="preserve">2020 Q2 </t>
  </si>
  <si>
    <t xml:space="preserve">2020 Q3 </t>
  </si>
  <si>
    <t>2020 Q4</t>
  </si>
  <si>
    <t>2020 Total</t>
  </si>
  <si>
    <r>
      <t>Table 4: Globalplex Intermodal Efficiency Improvements Project</t>
    </r>
    <r>
      <rPr>
        <b/>
        <i/>
        <sz val="9"/>
        <rFont val="Arial"/>
        <family val="2"/>
      </rPr>
      <t xml:space="preserve"> </t>
    </r>
    <r>
      <rPr>
        <b/>
        <sz val="9"/>
        <rFont val="Arial"/>
        <family val="2"/>
      </rPr>
      <t xml:space="preserve"> Funding Amounts</t>
    </r>
  </si>
  <si>
    <t xml:space="preserve">Existing Globalplex facility can not serve as an interim container facility due to inefficiencies of existing Access bridge, and lack of laydown area. </t>
  </si>
  <si>
    <t xml:space="preserve">Ability to expand operations for Port.  Cargo diversification. </t>
  </si>
  <si>
    <t xml:space="preserve">Existing cargoes are subject to a captive shipper scenario for rail as they are only able to access the CN rail line. Rates are high due to the lack of competition. Transloading costs are too high to drive the cargo &amp; load onto rail elsewhere. </t>
  </si>
  <si>
    <t>A shift from truck to rail for garnet sand &amp; other cargos</t>
  </si>
  <si>
    <t xml:space="preserve">Heavy cargoes want to call at Globalplex as the dock is nearest to the final destination (nearby chemical plants). However, the existing access bridge can not handle the loads and thus the heavy cargoes (often, large equipment) must be taken to the next nearest Port and driven on highways &amp; local roads a further distance. </t>
  </si>
  <si>
    <t xml:space="preserve">The new access bridge will be built to withstand these heavy loads. The cargo will no longer be driven on highways, and will be driven less on local roadways. </t>
  </si>
  <si>
    <t xml:space="preserve">Reduced VMT due to more efficiently loaded trucks. Reduced loading and unloading delay. The Port experiences resiliency due to a second access bridge. </t>
  </si>
  <si>
    <t>Project Matrix</t>
  </si>
  <si>
    <t xml:space="preserve">Improvements allow for Globalplex to be used as an interim container facility. After the new Multi-Modal Terminal with Container capabilities is constructed, the laydown area will be used for staging bulk/break bulk cargoes, such as steel products. </t>
  </si>
  <si>
    <t xml:space="preserve">Connection to the KCS rail line will allow for increased destinations, and the ability to utilize rail at Globalplex due to freeing from a captive shipper scenario. </t>
  </si>
  <si>
    <t xml:space="preserve"> https://crashstats.nhtsa.dot.gov/Api/Public/ViewPublication/812374</t>
  </si>
  <si>
    <t xml:space="preserve"> https://crashstats.nhtsa.dot.gov/Api/Public/ViewPublication/812375</t>
  </si>
  <si>
    <t>At Globalplex Facility</t>
  </si>
  <si>
    <t xml:space="preserve">Heavy Cargoes </t>
  </si>
  <si>
    <t>Diverted to Rail</t>
  </si>
  <si>
    <t>New VOCs (Short Tons)</t>
  </si>
  <si>
    <t>Rail Nox (Short Tons)</t>
  </si>
  <si>
    <t>Rail PM (Short Tons)</t>
  </si>
  <si>
    <t xml:space="preserve">Truck distance was calculated at 85% of rail distance. Rail distance is the median distance for Medium Hauls as defined by the Surface Transportation Board's Distance Category. </t>
  </si>
  <si>
    <t>Rail NOx emissions (grams per mile)</t>
  </si>
  <si>
    <t>Rail Particulate Matter (PM) emissions (grams mile)</t>
  </si>
  <si>
    <t>Number of Trains</t>
  </si>
  <si>
    <t>Rail Train Miles Traveled</t>
  </si>
  <si>
    <t>Federal Railroad Administration. "Comparative Evaluation of Rail and Truck Fuel Efficiency on Competitive Corridors" Final Report written by ICF International. November 19, 2009</t>
  </si>
  <si>
    <t>https://nepis.epa.gov/Exe/ZyNET.exe/P100EVY6.txt?ZyActionD=ZyDocument&amp;Client=EPA&amp;Index=2006%20Thru%202010&amp;Docs=&amp;Query=&amp;Time=&amp;EndTime=&amp;SearchMethod=1&amp;TocRestrict=n&amp;Toc=&amp;TocEntry=&amp;QField=&amp;QFieldYear=&amp;QFieldMonth=&amp;QFieldDay=&amp;UseQField=&amp;IntQFieldOp=0&amp;ExtQFieldOp=0&amp;XmlQuery=&amp;File=D%3A%5CZYFILES%5CINDEX%20DATA%5C06THRU10%5CTXT%5C00000033%5CP100EVY6.txt&amp;User=ANONYMOUS&amp;Password=anonymous&amp;SortMethod=h%7C-&amp;MaximumDocuments=1&amp;FuzzyDegree=0&amp;ImageQuality=r75g8/r75g8/x150y150g16/i425&amp;Display=hpfr&amp;DefSeekPage=x&amp;SearchBack=ZyActionL&amp;Back=ZyActionS&amp;BackDesc=Results%20page&amp;MaximumPages=1&amp;ZyEntry=5</t>
  </si>
  <si>
    <t>Unspent Balance</t>
  </si>
  <si>
    <t>Priority 1</t>
  </si>
  <si>
    <t>Priority 5</t>
  </si>
  <si>
    <t>Louisiana - Capital Outlay Funds</t>
  </si>
  <si>
    <t>Louisiana Capital Outlay Grant Funding</t>
  </si>
  <si>
    <t>Average In-Use Emissions from Heavy-Duty Trucks - Emission Facts</t>
  </si>
  <si>
    <t>Associated Terminal Data</t>
  </si>
  <si>
    <t>EDA Grant Study Assumptions</t>
  </si>
  <si>
    <t xml:space="preserve">Time Savings in Hours due to Cargo Flow (Access Bridge - Excludes Heavy Cargo) </t>
  </si>
  <si>
    <t>2016 Large Truck Fatal Crashes</t>
  </si>
  <si>
    <t>2016 Large Truck Injury Crashes</t>
  </si>
  <si>
    <t>2016 Large Truck Miles Traveled</t>
  </si>
  <si>
    <t>Truck VOC emissions (grams per mile)- Existing (VIIIa - [Smaller Trucks])</t>
  </si>
  <si>
    <t>Cargo Diverted to Rail  - Highway Miles</t>
  </si>
  <si>
    <t>Cargo Diverted to Rail - Rail Miles</t>
  </si>
  <si>
    <t>Average tons per truck - Current (short tons) - VIIIa</t>
  </si>
  <si>
    <t>Average tons per truck - New Access bridge (short tons)- VIIIb</t>
  </si>
  <si>
    <t>Percent of Cargo Shifted to Rail</t>
  </si>
  <si>
    <t>Assumption based on previous discussions with stevedores about existing tenants needs</t>
  </si>
  <si>
    <t>Tonnage per Train</t>
  </si>
  <si>
    <t>Unit Train</t>
  </si>
  <si>
    <t>Bridge Truck Trips 
(Existing) (Excludes Heavy Cargo)</t>
  </si>
  <si>
    <t>Bridge Truck Trips 
(New Access Bridge) (Excludes Heavy Cargo)</t>
  </si>
  <si>
    <t>1997 Federal Highway Cost Allocation Study Final Report, USDOT FHWA, May 2000</t>
  </si>
  <si>
    <t>1997 Federal Highway Cost Allocation Study Final Report, USDOT FHWA, May 2000, Adjusted by GDP Deflator</t>
  </si>
  <si>
    <t>Added Rail Vehicle Revenue Miles (VRM)</t>
  </si>
  <si>
    <t>Heavy Rail Accident rate per VRM</t>
  </si>
  <si>
    <t>https://www.transit.dot.gov/sites/fta.dot.gov/files/docs/Rail%20Safety%20Statistics%20Report.pdf</t>
  </si>
  <si>
    <t>Addition in Rail VRM</t>
  </si>
  <si>
    <t>Undiscounted, Net Reduction in Crash Costs (US$ 2017)</t>
  </si>
  <si>
    <t>Maintenance Cost per Train Mile</t>
  </si>
  <si>
    <t>Reduced Highway Maintenance Cost (US$ 2017)</t>
  </si>
  <si>
    <t>Added Rail VRM</t>
  </si>
  <si>
    <t>Rail Maintenance Cost per VRM (US$ 2017)</t>
  </si>
  <si>
    <t>Added Rail Maintenance Cost (US$ 2017)</t>
  </si>
  <si>
    <t xml:space="preserve">Undiscounted Reduced Maintenance Cost </t>
  </si>
  <si>
    <t>AMTRAK Access Fees Final redacted3 pd</t>
  </si>
  <si>
    <t>Rail operating Costs - Fuel per VRM</t>
  </si>
  <si>
    <t>Vehicle Operating Costs per VMT</t>
  </si>
  <si>
    <t>http://reasonrail.blogspot.com/2013/03/how-much-does-it-cost-to-run-train.html?_sm_au_=iHVVWMPVJqp7T067</t>
  </si>
  <si>
    <t>Rail Operating Cost (US$ 2017)</t>
  </si>
  <si>
    <t>Truck Operating Cost (US$ 2017)</t>
  </si>
  <si>
    <t>Added Rail Operating Cost (US$ 2017)</t>
  </si>
  <si>
    <t>Undiscounted Reduced Operating Cost</t>
  </si>
  <si>
    <t>Truck THC emissions (grams per mile) - Existing (VIIIa - [Smaller Trucks])</t>
  </si>
  <si>
    <t>Truck CO emissions (grams per mile)- Existing (VIIIa - [Smaller Trucks])</t>
  </si>
  <si>
    <t>Truck NOx emissions (grams per mile) - Existing (VIIIa - [Smaller Trucks])</t>
  </si>
  <si>
    <t>Truck PM2.5 emissions (grams per mile) - Existing (VIIIa - [Smaller Trucks])</t>
  </si>
  <si>
    <t>Truck VOC emissions (grams per mile) - New Access Bridge (VIIIb - [Larger Trucks])</t>
  </si>
  <si>
    <t>Truck THC emissions (grams per mile) - New Access Bridge (VIIIb - [Larger Trucks])</t>
  </si>
  <si>
    <t>Truck CO emissions (grams per mile) - New Access Bridge (VIIIb - [Larger Trucks])</t>
  </si>
  <si>
    <t>Truck NOx emissions (grams per mile) - New Access Bridge (VIIIb - [Larger Trucks])</t>
  </si>
  <si>
    <t>Truck PM2.5 emissions (grams per mile) - New Access Bridge (VIIIb - [Larger Trucks])</t>
  </si>
  <si>
    <t>Crash Costs - Cents Per Mile - 60 kil 4 axle Truck Interstate</t>
  </si>
  <si>
    <t>Rail Crashes - Injuries per VRM</t>
  </si>
  <si>
    <t>Rail Crahes - Fatalities per VRM</t>
  </si>
  <si>
    <t>Administrative and legal expenses</t>
  </si>
  <si>
    <t>Land, structures, right-of-way, appraisals, etc.</t>
  </si>
  <si>
    <t>Relocation expenses and payments</t>
  </si>
  <si>
    <t>Architectural and engineering fees</t>
  </si>
  <si>
    <t>Other architectural and engineering fees</t>
  </si>
  <si>
    <t>Project Inspection fees</t>
  </si>
  <si>
    <t>Site Work</t>
  </si>
  <si>
    <t>Demolition &amp; removal</t>
  </si>
  <si>
    <t>Equipment</t>
  </si>
  <si>
    <t>Miscellaneous</t>
  </si>
  <si>
    <t>Subtotal</t>
  </si>
  <si>
    <t>Contingencies</t>
  </si>
  <si>
    <t>Project Income</t>
  </si>
  <si>
    <t>Federal Percentage</t>
  </si>
  <si>
    <t>Federal Assitances</t>
  </si>
  <si>
    <t>Priority 2</t>
  </si>
  <si>
    <t>Calculated from: http://www.fhwa.dot.gov/policy/hcas/addendum.htm</t>
  </si>
  <si>
    <t>Calculated from: http://www.fhwa.dot.gov/policy/hcas/addendum.htm, Adjusted by GDP Deflator</t>
  </si>
  <si>
    <t>Roadway Maintenance Cost (1997$/mi)</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</si>
</sst>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00"/>
    <numFmt numFmtId="168" formatCode="_(* #,##0.000_);_(* \(#,##0.000\);_(* &quot;-&quot;???_);_(@_)"/>
    <numFmt numFmtId="169" formatCode="_(* #,##0.00_);_(* \(#,##0.00\);_(* &quot;-&quot;???_);_(@_)"/>
    <numFmt numFmtId="170" formatCode="_(* #,##0.0_);_(* \(#,##0.0\);_(* &quot;-&quot;???_);_(@_)"/>
    <numFmt numFmtId="171" formatCode="_(* #,##0_);_(* \(#,##0\);_(* &quot;-&quot;???_);_(@_)"/>
    <numFmt numFmtId="172" formatCode="0.0%"/>
    <numFmt numFmtId="173" formatCode="0.000000"/>
    <numFmt numFmtId="174" formatCode="0.00000"/>
    <numFmt numFmtId="175" formatCode="0.0000"/>
    <numFmt numFmtId="176" formatCode="0.000"/>
    <numFmt numFmtId="177" formatCode="0.0000000"/>
    <numFmt numFmtId="178" formatCode="_(* #,##0.000_);_(* \(#,##0.000\);_(* &quot;-&quot;??_);_(@_)"/>
    <numFmt numFmtId="179" formatCode="_(* #,##0.0000_);_(* \(#,##0.0000\);_(* &quot;-&quot;??_);_(@_)"/>
    <numFmt numFmtId="180" formatCode="0.0"/>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0.00000000"/>
    <numFmt numFmtId="187" formatCode="&quot;$&quot;#,##0.00"/>
    <numFmt numFmtId="188" formatCode="&quot;$&quot;#,##0"/>
    <numFmt numFmtId="189" formatCode="&quot;$&quot;#,##0.0"/>
    <numFmt numFmtId="190" formatCode="[$-409]d\-mmm\-yy;@"/>
    <numFmt numFmtId="191" formatCode="0\'"/>
    <numFmt numFmtId="192" formatCode="m/d/yy;@"/>
    <numFmt numFmtId="193" formatCode="mm/dd/yy;@"/>
    <numFmt numFmtId="194" formatCode="_(* #,##0.00000_);_(* \(#,##0.00000\);_(* &quot;-&quot;??_);_(@_)"/>
    <numFmt numFmtId="195" formatCode="0.0000000000"/>
    <numFmt numFmtId="196" formatCode="0.00000000000"/>
    <numFmt numFmtId="197" formatCode="0.000000000"/>
    <numFmt numFmtId="198" formatCode="&quot;$&quot;#,##0.0_);[Red]\(&quot;$&quot;#,##0.0\)"/>
    <numFmt numFmtId="199" formatCode="&quot;$&quot;#,##0.000_);[Red]\(&quot;$&quot;#,##0.000\)"/>
    <numFmt numFmtId="200" formatCode="&quot;$&quot;#,##0.0000_);[Red]\(&quot;$&quot;#,##0.0000\)"/>
    <numFmt numFmtId="201" formatCode="#0.0"/>
    <numFmt numFmtId="202" formatCode="#0.000"/>
    <numFmt numFmtId="203" formatCode="0.000%"/>
    <numFmt numFmtId="204" formatCode="[$-409]dddd\,\ mmmm\ dd\,\ yyyy"/>
    <numFmt numFmtId="205" formatCode="[$-409]h:mm:ss\ AM/PM"/>
    <numFmt numFmtId="206" formatCode="mmm\-yyyy"/>
    <numFmt numFmtId="207" formatCode="&quot;$&quot;#,##0.000"/>
    <numFmt numFmtId="208" formatCode="&quot;$&quot;#,##0.0000"/>
    <numFmt numFmtId="209" formatCode="&quot;$&quot;#,##0.00000"/>
    <numFmt numFmtId="210" formatCode="&quot;$&quot;#,##0.000000"/>
    <numFmt numFmtId="211" formatCode="&quot;$&quot;#,##0.0000000"/>
    <numFmt numFmtId="212" formatCode="0.000000000000"/>
    <numFmt numFmtId="213" formatCode="#,##0.0000"/>
    <numFmt numFmtId="214" formatCode="#,##0.00000"/>
    <numFmt numFmtId="215" formatCode="#,##0.000000"/>
    <numFmt numFmtId="216" formatCode="#,##0.0000000"/>
    <numFmt numFmtId="217" formatCode="#,##0.00000000"/>
    <numFmt numFmtId="218" formatCode="#,##0.000000000"/>
    <numFmt numFmtId="219" formatCode="#,##0.0000000000"/>
    <numFmt numFmtId="220" formatCode="#,##0.00000000000"/>
    <numFmt numFmtId="221" formatCode="_(&quot;$&quot;* #,##0_);_(&quot;$&quot;* \(#,##0\);_(&quot;$&quot;* &quot;-&quot;??_);_(@_)"/>
    <numFmt numFmtId="222" formatCode="##,##0.0"/>
    <numFmt numFmtId="223" formatCode="##,##0.0000"/>
  </numFmts>
  <fonts count="73">
    <font>
      <sz val="10"/>
      <name val="Arial"/>
      <family val="0"/>
    </font>
    <font>
      <sz val="8"/>
      <name val="arial"/>
      <family val="2"/>
    </font>
    <font>
      <u val="single"/>
      <sz val="10"/>
      <color indexed="12"/>
      <name val="Arial"/>
      <family val="2"/>
    </font>
    <font>
      <u val="single"/>
      <sz val="10"/>
      <color indexed="36"/>
      <name val="Arial"/>
      <family val="2"/>
    </font>
    <font>
      <sz val="10"/>
      <name val="Times New Roman"/>
      <family val="1"/>
    </font>
    <font>
      <b/>
      <sz val="10"/>
      <name val="Times New Roman"/>
      <family val="1"/>
    </font>
    <font>
      <b/>
      <sz val="11"/>
      <name val="Times New Roman"/>
      <family val="1"/>
    </font>
    <font>
      <sz val="11"/>
      <name val="Times New Roman"/>
      <family val="1"/>
    </font>
    <font>
      <b/>
      <sz val="10"/>
      <name val="Arial"/>
      <family val="2"/>
    </font>
    <font>
      <b/>
      <sz val="10"/>
      <color indexed="8"/>
      <name val="Times New Roman"/>
      <family val="1"/>
    </font>
    <font>
      <sz val="10"/>
      <color indexed="8"/>
      <name val="Times New Roman"/>
      <family val="1"/>
    </font>
    <font>
      <i/>
      <sz val="10"/>
      <name val="Times New Roman"/>
      <family val="1"/>
    </font>
    <font>
      <sz val="9"/>
      <name val="Arial"/>
      <family val="2"/>
    </font>
    <font>
      <b/>
      <sz val="9"/>
      <name val="Arial"/>
      <family val="2"/>
    </font>
    <font>
      <u val="single"/>
      <sz val="9"/>
      <color indexed="12"/>
      <name val="Arial"/>
      <family val="2"/>
    </font>
    <font>
      <b/>
      <sz val="9"/>
      <color indexed="8"/>
      <name val="Arial"/>
      <family val="2"/>
    </font>
    <font>
      <sz val="9"/>
      <color indexed="8"/>
      <name val="Arial"/>
      <family val="2"/>
    </font>
    <font>
      <i/>
      <sz val="9"/>
      <color indexed="8"/>
      <name val="Arial"/>
      <family val="2"/>
    </font>
    <font>
      <u val="single"/>
      <sz val="9"/>
      <name val="Arial"/>
      <family val="2"/>
    </font>
    <font>
      <b/>
      <u val="single"/>
      <sz val="9"/>
      <name val="Arial"/>
      <family val="2"/>
    </font>
    <font>
      <b/>
      <i/>
      <sz val="9"/>
      <name val="Arial"/>
      <family val="2"/>
    </font>
    <font>
      <i/>
      <sz val="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40"/>
      <name val="Arial"/>
      <family val="2"/>
    </font>
    <font>
      <b/>
      <u val="single"/>
      <sz val="9"/>
      <color indexed="8"/>
      <name val="Arial"/>
      <family val="2"/>
    </font>
    <font>
      <b/>
      <sz val="10"/>
      <color indexed="40"/>
      <name val="Arial"/>
      <family val="2"/>
    </font>
    <font>
      <i/>
      <u val="single"/>
      <sz val="9"/>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imes New Roman"/>
      <family val="1"/>
    </font>
    <font>
      <b/>
      <sz val="10"/>
      <color rgb="FF000000"/>
      <name val="Times New Roman"/>
      <family val="1"/>
    </font>
    <font>
      <sz val="9"/>
      <color theme="1"/>
      <name val="Arial"/>
      <family val="2"/>
    </font>
    <font>
      <b/>
      <sz val="9"/>
      <color rgb="FF00B5E2"/>
      <name val="Arial"/>
      <family val="2"/>
    </font>
    <font>
      <i/>
      <sz val="9"/>
      <color theme="1"/>
      <name val="Arial"/>
      <family val="2"/>
    </font>
    <font>
      <b/>
      <sz val="9"/>
      <color theme="1"/>
      <name val="Arial"/>
      <family val="2"/>
    </font>
    <font>
      <u val="single"/>
      <sz val="9"/>
      <color theme="10"/>
      <name val="Arial"/>
      <family val="2"/>
    </font>
    <font>
      <b/>
      <sz val="9"/>
      <color rgb="FF000000"/>
      <name val="Arial"/>
      <family val="2"/>
    </font>
    <font>
      <sz val="9"/>
      <color rgb="FF000000"/>
      <name val="Arial"/>
      <family val="2"/>
    </font>
    <font>
      <b/>
      <u val="single"/>
      <sz val="9"/>
      <color rgb="FF000000"/>
      <name val="Arial"/>
      <family val="2"/>
    </font>
    <font>
      <b/>
      <sz val="10"/>
      <color rgb="FF00B5E2"/>
      <name val="Arial"/>
      <family val="2"/>
    </font>
    <font>
      <i/>
      <u val="single"/>
      <sz val="9"/>
      <color theme="1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FFFF"/>
        <bgColor indexed="64"/>
      </patternFill>
    </fill>
    <fill>
      <patternFill patternType="solid">
        <fgColor indexed="9"/>
        <bgColor indexed="64"/>
      </patternFill>
    </fill>
    <fill>
      <patternFill patternType="solid">
        <fgColor theme="0" tint="-0.1499900072813034"/>
        <bgColor indexed="64"/>
      </patternFill>
    </fill>
    <fill>
      <patternFill patternType="solid">
        <fgColor rgb="FFFFFF00"/>
        <bgColor indexed="64"/>
      </patternFill>
    </fill>
    <fill>
      <patternFill patternType="solid">
        <fgColor rgb="FFD9D9D9"/>
        <bgColor indexed="64"/>
      </patternFill>
    </fill>
    <fill>
      <patternFill patternType="solid">
        <fgColor rgb="FFD8E4BC"/>
        <bgColor indexed="64"/>
      </patternFill>
    </fill>
    <fill>
      <patternFill patternType="solid">
        <fgColor rgb="FF54DCFF"/>
        <bgColor indexed="64"/>
      </patternFill>
    </fill>
    <fill>
      <patternFill patternType="solid">
        <fgColor rgb="FFBFBFBF"/>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right style="thin">
        <color rgb="FF000000"/>
      </right>
      <top/>
      <bottom/>
    </border>
    <border>
      <left style="medium"/>
      <right/>
      <top style="medium"/>
      <bottom style="thick">
        <color rgb="FF00B5E2"/>
      </bottom>
    </border>
    <border>
      <left/>
      <right/>
      <top style="medium"/>
      <bottom style="thick">
        <color rgb="FF00B5E2"/>
      </bottom>
    </border>
    <border>
      <left/>
      <right style="medium"/>
      <top style="medium"/>
      <bottom style="thick">
        <color rgb="FF00B5E2"/>
      </bottom>
    </border>
    <border>
      <left style="medium"/>
      <right/>
      <top style="thin"/>
      <bottom style="thin"/>
    </border>
    <border>
      <left>
        <color indexed="63"/>
      </left>
      <right>
        <color indexed="63"/>
      </right>
      <top style="thin"/>
      <bottom style="thin"/>
    </border>
    <border>
      <left>
        <color indexed="63"/>
      </left>
      <right style="medium"/>
      <top style="thin"/>
      <bottom style="thin"/>
    </border>
    <border>
      <left style="medium"/>
      <right/>
      <top/>
      <bottom style="medium"/>
    </border>
    <border>
      <left/>
      <right/>
      <top/>
      <bottom style="medium"/>
    </border>
    <border>
      <left>
        <color indexed="63"/>
      </left>
      <right style="medium"/>
      <top>
        <color indexed="63"/>
      </top>
      <bottom style="medium"/>
    </border>
    <border>
      <left/>
      <right/>
      <top/>
      <bottom style="thin">
        <color rgb="FF000000"/>
      </bottom>
    </border>
    <border>
      <left style="thin">
        <color rgb="FF000000"/>
      </left>
      <right style="thin">
        <color rgb="FF000000"/>
      </right>
      <top/>
      <bottom style="thin">
        <color rgb="FF000000"/>
      </bottom>
    </border>
    <border>
      <left/>
      <right style="thin">
        <color rgb="FF000000"/>
      </right>
      <top/>
      <bottom style="thin">
        <color rgb="FF000000"/>
      </bottom>
    </border>
    <border>
      <left style="thin">
        <color rgb="FF000000"/>
      </left>
      <right/>
      <top/>
      <bottom style="thin">
        <color rgb="FF000000"/>
      </bottom>
    </border>
    <border>
      <left style="thin">
        <color rgb="FF000000"/>
      </left>
      <right/>
      <top/>
      <bottom/>
    </border>
    <border>
      <left style="thin">
        <color rgb="FF000000"/>
      </left>
      <right style="medium"/>
      <top/>
      <bottom style="thin">
        <color rgb="FF000000"/>
      </bottom>
    </border>
    <border>
      <left style="medium"/>
      <right>
        <color indexed="63"/>
      </right>
      <top>
        <color indexed="63"/>
      </top>
      <bottom>
        <color indexed="63"/>
      </bottom>
    </border>
    <border>
      <left style="thin">
        <color rgb="FF000000"/>
      </left>
      <right style="medium"/>
      <top/>
      <bottom/>
    </border>
    <border>
      <left/>
      <right style="thin">
        <color rgb="FF000000"/>
      </right>
      <top/>
      <bottom style="medium"/>
    </border>
    <border>
      <left style="thin">
        <color rgb="FF000000"/>
      </left>
      <right/>
      <top/>
      <bottom style="medium"/>
    </border>
    <border>
      <left style="thin">
        <color rgb="FF000000"/>
      </left>
      <right style="medium"/>
      <top/>
      <bottom style="medium"/>
    </border>
    <border>
      <left style="thin"/>
      <right>
        <color indexed="63"/>
      </right>
      <top style="medium"/>
      <bottom style="thin"/>
    </border>
    <border>
      <left style="thin"/>
      <right style="thin"/>
      <top>
        <color indexed="63"/>
      </top>
      <bottom style="thin"/>
    </border>
    <border>
      <left>
        <color indexed="63"/>
      </left>
      <right style="medium"/>
      <top style="medium"/>
      <bottom>
        <color indexed="63"/>
      </bottom>
    </border>
    <border>
      <left style="medium"/>
      <right>
        <color indexed="63"/>
      </right>
      <top style="medium"/>
      <bottom style="thin"/>
    </border>
    <border>
      <left>
        <color indexed="63"/>
      </left>
      <right style="medium"/>
      <top style="medium"/>
      <bottom style="thin"/>
    </border>
    <border>
      <left style="thin"/>
      <right>
        <color indexed="63"/>
      </right>
      <top style="thin"/>
      <bottom style="thin"/>
    </border>
    <border>
      <left style="thin"/>
      <right>
        <color indexed="63"/>
      </right>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border>
    <border>
      <left>
        <color indexed="63"/>
      </left>
      <right style="thin"/>
      <top style="thin"/>
      <bottom style="thin"/>
    </border>
    <border>
      <left style="medium"/>
      <right/>
      <top style="thin"/>
      <bottom/>
    </border>
    <border>
      <left/>
      <right style="thin"/>
      <top style="thin"/>
      <botto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right/>
      <top style="thick">
        <color rgb="FF00B5E2"/>
      </top>
      <bottom/>
    </border>
    <border>
      <left>
        <color indexed="63"/>
      </left>
      <right style="medium"/>
      <top>
        <color indexed="63"/>
      </top>
      <bottom>
        <color indexed="63"/>
      </bottom>
    </border>
    <border>
      <left style="medium"/>
      <right/>
      <top style="thick">
        <color rgb="FF00B5E2"/>
      </top>
      <bottom/>
    </border>
    <border>
      <left/>
      <right style="medium"/>
      <top style="thick">
        <color rgb="FF00B5E2"/>
      </top>
      <bottom/>
    </border>
    <border>
      <left style="medium"/>
      <right style="thin"/>
      <top>
        <color indexed="63"/>
      </top>
      <bottom style="thin"/>
    </border>
    <border>
      <left style="thin"/>
      <right style="medium"/>
      <top>
        <color indexed="63"/>
      </top>
      <bottom style="thin"/>
    </border>
    <border>
      <left>
        <color indexed="63"/>
      </left>
      <right style="thin"/>
      <top style="medium"/>
      <bottom style="thin"/>
    </border>
    <border>
      <left>
        <color indexed="63"/>
      </left>
      <right style="medium"/>
      <top style="thin"/>
      <bottom>
        <color indexed="63"/>
      </bottom>
    </border>
    <border>
      <left>
        <color indexed="63"/>
      </left>
      <right style="thin"/>
      <top style="thin"/>
      <bottom style="medium"/>
    </border>
    <border>
      <left style="medium"/>
      <right style="medium"/>
      <top style="thin"/>
      <bottom style="thin"/>
    </border>
    <border>
      <left style="medium"/>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thin">
        <color rgb="FF000000"/>
      </right>
      <top style="thin">
        <color rgb="FF000000"/>
      </top>
      <bottom/>
    </border>
    <border>
      <left style="medium"/>
      <right style="thin">
        <color rgb="FF000000"/>
      </right>
      <top/>
      <bottom/>
    </border>
    <border>
      <left style="medium"/>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medium"/>
      <top style="thin">
        <color rgb="FF000000"/>
      </top>
      <bottom style="thin">
        <color rgb="FF000000"/>
      </bottom>
    </border>
    <border>
      <left/>
      <right style="thin">
        <color rgb="FF000000"/>
      </right>
      <top style="thin">
        <color rgb="FF000000"/>
      </top>
      <bottom style="thin">
        <color rgb="FF000000"/>
      </bottom>
    </border>
    <border>
      <left style="medium"/>
      <right/>
      <top/>
      <bottom style="thin">
        <color rgb="FF000000"/>
      </bottom>
    </border>
    <border>
      <left/>
      <right style="medium"/>
      <top/>
      <bottom style="thin">
        <color rgb="FF000000"/>
      </bottom>
    </border>
    <border>
      <left style="medium"/>
      <right style="medium"/>
      <top style="medium"/>
      <bottom style="thin"/>
    </border>
    <border>
      <left style="medium"/>
      <right>
        <color indexed="63"/>
      </right>
      <top style="thin"/>
      <bottom style="medium"/>
    </border>
    <border>
      <left>
        <color indexed="63"/>
      </left>
      <right style="medium"/>
      <top>
        <color indexed="63"/>
      </top>
      <bottom style="thin"/>
    </border>
    <border>
      <left style="medium"/>
      <right>
        <color indexed="63"/>
      </right>
      <top>
        <color indexed="63"/>
      </top>
      <bottom style="thin"/>
    </border>
    <border>
      <left>
        <color indexed="63"/>
      </left>
      <right>
        <color indexed="63"/>
      </right>
      <top style="medium"/>
      <bottom style="thin"/>
    </border>
    <border>
      <left/>
      <right/>
      <top style="thin"/>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0" fillId="33" borderId="8" applyNumberFormat="0" applyFont="0" applyAlignment="0" applyProtection="0"/>
    <xf numFmtId="0" fontId="0" fillId="33" borderId="8" applyNumberFormat="0" applyFont="0" applyAlignment="0" applyProtection="0"/>
    <xf numFmtId="0" fontId="57"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10" applyNumberFormat="0" applyFill="0" applyAlignment="0" applyProtection="0"/>
    <xf numFmtId="0" fontId="60" fillId="0" borderId="0" applyNumberFormat="0" applyFill="0" applyBorder="0" applyAlignment="0" applyProtection="0"/>
  </cellStyleXfs>
  <cellXfs count="732">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11" xfId="0" applyFont="1" applyBorder="1" applyAlignment="1">
      <alignment/>
    </xf>
    <xf numFmtId="0" fontId="4" fillId="0" borderId="0" xfId="0" applyFont="1" applyFill="1" applyAlignment="1">
      <alignment/>
    </xf>
    <xf numFmtId="3" fontId="4" fillId="0" borderId="11" xfId="0" applyNumberFormat="1" applyFont="1" applyFill="1" applyBorder="1" applyAlignment="1">
      <alignment/>
    </xf>
    <xf numFmtId="1" fontId="7" fillId="0" borderId="11" xfId="0" applyNumberFormat="1" applyFont="1" applyFill="1" applyBorder="1" applyAlignment="1">
      <alignment/>
    </xf>
    <xf numFmtId="0" fontId="4" fillId="0" borderId="11" xfId="0" applyFont="1" applyFill="1" applyBorder="1" applyAlignment="1">
      <alignment/>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4" xfId="0" applyFont="1" applyFill="1" applyBorder="1" applyAlignment="1">
      <alignment/>
    </xf>
    <xf numFmtId="0" fontId="6" fillId="0" borderId="15" xfId="0" applyFont="1" applyFill="1" applyBorder="1" applyAlignment="1">
      <alignment horizontal="center" vertical="center" wrapText="1"/>
    </xf>
    <xf numFmtId="0" fontId="6" fillId="0" borderId="16" xfId="0" applyFont="1" applyFill="1" applyBorder="1" applyAlignment="1">
      <alignment/>
    </xf>
    <xf numFmtId="1" fontId="6" fillId="0" borderId="17" xfId="0" applyNumberFormat="1" applyFont="1" applyFill="1" applyBorder="1" applyAlignment="1">
      <alignment/>
    </xf>
    <xf numFmtId="0" fontId="5" fillId="0" borderId="17" xfId="0" applyFont="1" applyBorder="1" applyAlignment="1">
      <alignment/>
    </xf>
    <xf numFmtId="0" fontId="5" fillId="0" borderId="0" xfId="0" applyFont="1" applyAlignment="1">
      <alignment horizontal="center" vertical="center"/>
    </xf>
    <xf numFmtId="3" fontId="4" fillId="0" borderId="0" xfId="0" applyNumberFormat="1" applyFont="1" applyAlignment="1">
      <alignment/>
    </xf>
    <xf numFmtId="0" fontId="4" fillId="0" borderId="0" xfId="0" applyFont="1" applyAlignment="1">
      <alignment horizontal="center" vertical="center"/>
    </xf>
    <xf numFmtId="0" fontId="5" fillId="0" borderId="0" xfId="0" applyFont="1" applyAlignment="1">
      <alignment wrapText="1"/>
    </xf>
    <xf numFmtId="0" fontId="4" fillId="0" borderId="0" xfId="0" applyFont="1" applyAlignment="1">
      <alignment wrapText="1"/>
    </xf>
    <xf numFmtId="0" fontId="61" fillId="0" borderId="0" xfId="0" applyFont="1" applyFill="1" applyBorder="1" applyAlignment="1">
      <alignment vertical="center" wrapText="1"/>
    </xf>
    <xf numFmtId="0" fontId="61" fillId="34" borderId="12" xfId="0" applyFont="1" applyFill="1" applyBorder="1" applyAlignment="1">
      <alignment horizontal="center" vertical="center" wrapText="1"/>
    </xf>
    <xf numFmtId="0" fontId="62" fillId="34" borderId="13" xfId="0" applyFont="1" applyFill="1" applyBorder="1" applyAlignment="1">
      <alignment horizontal="center" vertical="center" wrapText="1"/>
    </xf>
    <xf numFmtId="0" fontId="9" fillId="35" borderId="13" xfId="0" applyFont="1" applyFill="1" applyBorder="1" applyAlignment="1">
      <alignment horizontal="center" vertical="center" wrapText="1"/>
    </xf>
    <xf numFmtId="0" fontId="9" fillId="36" borderId="15" xfId="0" applyFont="1" applyFill="1" applyBorder="1" applyAlignment="1">
      <alignment horizontal="center" vertical="center" wrapText="1"/>
    </xf>
    <xf numFmtId="0" fontId="61" fillId="34" borderId="14" xfId="0" applyFont="1" applyFill="1" applyBorder="1" applyAlignment="1">
      <alignment vertical="center" wrapText="1"/>
    </xf>
    <xf numFmtId="3" fontId="61" fillId="0" borderId="11" xfId="0" applyNumberFormat="1" applyFont="1" applyFill="1" applyBorder="1" applyAlignment="1">
      <alignment horizontal="right" vertical="center" wrapText="1"/>
    </xf>
    <xf numFmtId="3" fontId="10" fillId="0" borderId="11" xfId="0" applyNumberFormat="1" applyFont="1" applyFill="1" applyBorder="1" applyAlignment="1">
      <alignment horizontal="right" vertical="center" wrapText="1"/>
    </xf>
    <xf numFmtId="3" fontId="10" fillId="0" borderId="18" xfId="0" applyNumberFormat="1" applyFont="1" applyFill="1" applyBorder="1" applyAlignment="1">
      <alignment horizontal="right" vertical="center" wrapText="1"/>
    </xf>
    <xf numFmtId="10" fontId="61" fillId="0" borderId="11" xfId="0" applyNumberFormat="1" applyFont="1" applyFill="1" applyBorder="1" applyAlignment="1">
      <alignment horizontal="right" vertical="center" wrapText="1"/>
    </xf>
    <xf numFmtId="10" fontId="4" fillId="0" borderId="11" xfId="0" applyNumberFormat="1" applyFont="1" applyFill="1" applyBorder="1" applyAlignment="1">
      <alignment/>
    </xf>
    <xf numFmtId="10" fontId="10" fillId="37" borderId="11" xfId="0" applyNumberFormat="1" applyFont="1" applyFill="1" applyBorder="1" applyAlignment="1">
      <alignment horizontal="right" vertical="center" wrapText="1"/>
    </xf>
    <xf numFmtId="10" fontId="10" fillId="0" borderId="11" xfId="0" applyNumberFormat="1" applyFont="1" applyFill="1" applyBorder="1" applyAlignment="1">
      <alignment horizontal="right" vertical="center" wrapText="1"/>
    </xf>
    <xf numFmtId="10" fontId="10" fillId="37" borderId="18" xfId="0" applyNumberFormat="1" applyFont="1" applyFill="1" applyBorder="1" applyAlignment="1">
      <alignment horizontal="right" vertical="center" wrapText="1"/>
    </xf>
    <xf numFmtId="0" fontId="61" fillId="0" borderId="11" xfId="0" applyFont="1" applyFill="1" applyBorder="1" applyAlignment="1">
      <alignment horizontal="right" vertical="center" wrapText="1"/>
    </xf>
    <xf numFmtId="2" fontId="10" fillId="0" borderId="11" xfId="0" applyNumberFormat="1" applyFont="1" applyFill="1" applyBorder="1" applyAlignment="1">
      <alignment horizontal="right" vertical="center" wrapText="1"/>
    </xf>
    <xf numFmtId="2" fontId="10" fillId="0" borderId="18" xfId="0" applyNumberFormat="1" applyFont="1" applyFill="1" applyBorder="1" applyAlignment="1">
      <alignment horizontal="right" vertical="center" wrapText="1"/>
    </xf>
    <xf numFmtId="3" fontId="10" fillId="37" borderId="11" xfId="0" applyNumberFormat="1" applyFont="1" applyFill="1" applyBorder="1" applyAlignment="1">
      <alignment horizontal="right" vertical="center" wrapText="1"/>
    </xf>
    <xf numFmtId="3" fontId="10" fillId="37" borderId="18" xfId="0" applyNumberFormat="1" applyFont="1" applyFill="1" applyBorder="1" applyAlignment="1">
      <alignment horizontal="right" vertical="center" wrapText="1"/>
    </xf>
    <xf numFmtId="0" fontId="61" fillId="34" borderId="16" xfId="0" applyFont="1" applyFill="1" applyBorder="1" applyAlignment="1">
      <alignment vertical="center" wrapText="1"/>
    </xf>
    <xf numFmtId="10" fontId="61" fillId="0" borderId="17" xfId="0" applyNumberFormat="1" applyFont="1" applyFill="1" applyBorder="1" applyAlignment="1">
      <alignment horizontal="right" vertical="center" wrapText="1"/>
    </xf>
    <xf numFmtId="10" fontId="4" fillId="0" borderId="17" xfId="0" applyNumberFormat="1" applyFont="1" applyFill="1" applyBorder="1" applyAlignment="1">
      <alignment/>
    </xf>
    <xf numFmtId="10" fontId="10" fillId="37" borderId="17" xfId="0" applyNumberFormat="1" applyFont="1" applyFill="1" applyBorder="1" applyAlignment="1">
      <alignment horizontal="right" vertical="center" wrapText="1"/>
    </xf>
    <xf numFmtId="10" fontId="10" fillId="0" borderId="17" xfId="0" applyNumberFormat="1" applyFont="1" applyFill="1" applyBorder="1" applyAlignment="1">
      <alignment horizontal="right" vertical="center" wrapText="1"/>
    </xf>
    <xf numFmtId="10" fontId="10" fillId="37" borderId="19" xfId="0" applyNumberFormat="1" applyFont="1" applyFill="1" applyBorder="1" applyAlignment="1">
      <alignment horizontal="right" vertical="center" wrapText="1"/>
    </xf>
    <xf numFmtId="0" fontId="9" fillId="35" borderId="12" xfId="0" applyFont="1" applyFill="1" applyBorder="1" applyAlignment="1">
      <alignment vertical="center" wrapText="1"/>
    </xf>
    <xf numFmtId="0" fontId="4" fillId="0" borderId="13" xfId="0" applyFont="1" applyBorder="1" applyAlignment="1">
      <alignment/>
    </xf>
    <xf numFmtId="0" fontId="9" fillId="35" borderId="15" xfId="0" applyFont="1" applyFill="1" applyBorder="1" applyAlignment="1">
      <alignment horizontal="center" vertical="center" wrapText="1"/>
    </xf>
    <xf numFmtId="0" fontId="10" fillId="35" borderId="14" xfId="0" applyFont="1" applyFill="1" applyBorder="1" applyAlignment="1">
      <alignment horizontal="left" vertical="top" wrapText="1"/>
    </xf>
    <xf numFmtId="0" fontId="10" fillId="36" borderId="14" xfId="0" applyFont="1" applyFill="1" applyBorder="1" applyAlignment="1">
      <alignment horizontal="left" vertical="top" wrapText="1" indent="2"/>
    </xf>
    <xf numFmtId="172" fontId="10" fillId="0" borderId="11" xfId="66" applyNumberFormat="1" applyFont="1" applyFill="1" applyBorder="1" applyAlignment="1">
      <alignment horizontal="right" vertical="center" wrapText="1"/>
    </xf>
    <xf numFmtId="172" fontId="10" fillId="0" borderId="18" xfId="66" applyNumberFormat="1" applyFont="1" applyFill="1" applyBorder="1" applyAlignment="1">
      <alignment horizontal="right" vertical="center" wrapText="1"/>
    </xf>
    <xf numFmtId="172" fontId="10" fillId="37" borderId="18" xfId="66" applyNumberFormat="1" applyFont="1" applyFill="1" applyBorder="1" applyAlignment="1">
      <alignment horizontal="right" vertical="center" wrapText="1"/>
    </xf>
    <xf numFmtId="0" fontId="10" fillId="36" borderId="16" xfId="0" applyFont="1" applyFill="1" applyBorder="1" applyAlignment="1">
      <alignment horizontal="left" vertical="top" wrapText="1" indent="2"/>
    </xf>
    <xf numFmtId="172" fontId="10" fillId="0" borderId="17" xfId="66" applyNumberFormat="1" applyFont="1" applyFill="1" applyBorder="1" applyAlignment="1">
      <alignment horizontal="right" vertical="center" wrapText="1"/>
    </xf>
    <xf numFmtId="0" fontId="4" fillId="0" borderId="17" xfId="0" applyFont="1" applyFill="1" applyBorder="1" applyAlignment="1">
      <alignment/>
    </xf>
    <xf numFmtId="172" fontId="10" fillId="0" borderId="19" xfId="66" applyNumberFormat="1" applyFont="1" applyFill="1" applyBorder="1" applyAlignment="1">
      <alignment horizontal="right" vertical="center" wrapText="1"/>
    </xf>
    <xf numFmtId="0" fontId="5" fillId="38" borderId="11" xfId="0" applyFont="1" applyFill="1" applyBorder="1" applyAlignment="1">
      <alignment horizontal="center" vertical="center" wrapText="1"/>
    </xf>
    <xf numFmtId="0" fontId="4" fillId="0" borderId="11" xfId="0" applyFont="1" applyBorder="1" applyAlignment="1">
      <alignment vertical="center" wrapText="1"/>
    </xf>
    <xf numFmtId="0" fontId="62" fillId="0"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5" xfId="0" applyFont="1" applyFill="1" applyBorder="1" applyAlignment="1">
      <alignment horizontal="center" vertical="center" wrapText="1"/>
    </xf>
    <xf numFmtId="10" fontId="10" fillId="0" borderId="18" xfId="0" applyNumberFormat="1" applyFont="1" applyFill="1" applyBorder="1" applyAlignment="1">
      <alignment horizontal="right" vertical="center" wrapText="1"/>
    </xf>
    <xf numFmtId="10" fontId="10" fillId="0" borderId="19" xfId="0" applyNumberFormat="1" applyFont="1" applyFill="1" applyBorder="1" applyAlignment="1">
      <alignment horizontal="right" vertical="center" wrapText="1"/>
    </xf>
    <xf numFmtId="3" fontId="10" fillId="0" borderId="0" xfId="0" applyNumberFormat="1" applyFont="1" applyFill="1" applyBorder="1" applyAlignment="1">
      <alignment horizontal="right" vertical="center" wrapText="1"/>
    </xf>
    <xf numFmtId="172" fontId="10" fillId="0" borderId="0" xfId="66" applyNumberFormat="1" applyFont="1" applyFill="1" applyBorder="1" applyAlignment="1">
      <alignment horizontal="right" vertical="center" wrapText="1"/>
    </xf>
    <xf numFmtId="0" fontId="9" fillId="0" borderId="0" xfId="0" applyFont="1" applyFill="1" applyBorder="1" applyAlignment="1">
      <alignment horizontal="center" vertical="center" wrapText="1"/>
    </xf>
    <xf numFmtId="10" fontId="10" fillId="0" borderId="0" xfId="0" applyNumberFormat="1" applyFont="1" applyFill="1" applyBorder="1" applyAlignment="1">
      <alignment horizontal="right" vertical="center" wrapText="1"/>
    </xf>
    <xf numFmtId="2" fontId="10" fillId="0" borderId="0" xfId="0" applyNumberFormat="1" applyFont="1" applyFill="1" applyBorder="1" applyAlignment="1">
      <alignment horizontal="right" vertical="center" wrapText="1"/>
    </xf>
    <xf numFmtId="172" fontId="61" fillId="0" borderId="11" xfId="66" applyNumberFormat="1" applyFont="1" applyFill="1" applyBorder="1" applyAlignment="1">
      <alignment horizontal="right" vertical="center" wrapText="1"/>
    </xf>
    <xf numFmtId="172" fontId="61" fillId="0" borderId="17" xfId="66" applyNumberFormat="1" applyFont="1" applyFill="1" applyBorder="1" applyAlignment="1">
      <alignment horizontal="right" vertical="center" wrapText="1"/>
    </xf>
    <xf numFmtId="0" fontId="62" fillId="34" borderId="12" xfId="0" applyFont="1" applyFill="1" applyBorder="1" applyAlignment="1">
      <alignment horizontal="center" vertical="center" wrapText="1"/>
    </xf>
    <xf numFmtId="0" fontId="9" fillId="35" borderId="12" xfId="0" applyFont="1" applyFill="1" applyBorder="1" applyAlignment="1">
      <alignment horizontal="center" vertical="center" wrapText="1"/>
    </xf>
    <xf numFmtId="3" fontId="4" fillId="0" borderId="0" xfId="0" applyNumberFormat="1" applyFont="1" applyAlignment="1">
      <alignment wrapText="1"/>
    </xf>
    <xf numFmtId="3" fontId="4" fillId="0" borderId="11" xfId="0" applyNumberFormat="1" applyFont="1" applyBorder="1" applyAlignment="1">
      <alignment horizontal="right" vertical="center" wrapText="1"/>
    </xf>
    <xf numFmtId="172" fontId="4" fillId="0" borderId="11" xfId="66" applyNumberFormat="1" applyFont="1" applyBorder="1" applyAlignment="1">
      <alignment horizontal="right" vertical="center" wrapText="1"/>
    </xf>
    <xf numFmtId="10" fontId="61" fillId="37" borderId="11" xfId="0" applyNumberFormat="1" applyFont="1" applyFill="1" applyBorder="1" applyAlignment="1">
      <alignment horizontal="right" vertical="center" wrapText="1"/>
    </xf>
    <xf numFmtId="3" fontId="61" fillId="37" borderId="11" xfId="0" applyNumberFormat="1" applyFont="1" applyFill="1" applyBorder="1" applyAlignment="1">
      <alignment horizontal="right" vertical="center" wrapText="1"/>
    </xf>
    <xf numFmtId="223" fontId="63" fillId="0" borderId="20" xfId="0" applyNumberFormat="1" applyFont="1" applyBorder="1" applyAlignment="1">
      <alignment horizontal="right" vertical="top" wrapText="1"/>
    </xf>
    <xf numFmtId="0" fontId="0" fillId="0" borderId="0" xfId="0" applyFont="1" applyAlignment="1">
      <alignment/>
    </xf>
    <xf numFmtId="0" fontId="12" fillId="0" borderId="0" xfId="0" applyFont="1" applyAlignment="1">
      <alignment/>
    </xf>
    <xf numFmtId="0" fontId="64" fillId="0" borderId="21" xfId="0" applyFont="1" applyBorder="1" applyAlignment="1">
      <alignment horizontal="center" vertical="center" wrapText="1"/>
    </xf>
    <xf numFmtId="0" fontId="64" fillId="0" borderId="22" xfId="0" applyFont="1" applyBorder="1" applyAlignment="1">
      <alignment horizontal="center" vertical="center" wrapText="1"/>
    </xf>
    <xf numFmtId="0" fontId="64" fillId="0" borderId="23" xfId="0" applyFont="1" applyBorder="1" applyAlignment="1">
      <alignment horizontal="center" vertical="center" wrapText="1"/>
    </xf>
    <xf numFmtId="0" fontId="63" fillId="0" borderId="24" xfId="0" applyFont="1" applyBorder="1" applyAlignment="1">
      <alignment vertical="center" wrapText="1"/>
    </xf>
    <xf numFmtId="188" fontId="63" fillId="10" borderId="25" xfId="0" applyNumberFormat="1" applyFont="1" applyFill="1" applyBorder="1" applyAlignment="1">
      <alignment horizontal="center" vertical="center" wrapText="1"/>
    </xf>
    <xf numFmtId="188" fontId="63" fillId="10" borderId="26" xfId="0" applyNumberFormat="1" applyFont="1" applyFill="1" applyBorder="1" applyAlignment="1">
      <alignment horizontal="center" vertical="center" wrapText="1"/>
    </xf>
    <xf numFmtId="0" fontId="65" fillId="0" borderId="27" xfId="0" applyFont="1" applyBorder="1" applyAlignment="1">
      <alignment horizontal="right" vertical="center" wrapText="1"/>
    </xf>
    <xf numFmtId="188" fontId="65" fillId="0" borderId="28" xfId="0" applyNumberFormat="1" applyFont="1" applyBorder="1" applyAlignment="1">
      <alignment horizontal="center" vertical="center" wrapText="1"/>
    </xf>
    <xf numFmtId="188" fontId="65" fillId="0" borderId="29" xfId="0" applyNumberFormat="1" applyFont="1" applyBorder="1" applyAlignment="1">
      <alignment horizontal="center" vertical="center" wrapText="1"/>
    </xf>
    <xf numFmtId="0" fontId="63" fillId="0" borderId="27" xfId="0" applyFont="1" applyBorder="1" applyAlignment="1">
      <alignment horizontal="right" vertical="center" wrapText="1"/>
    </xf>
    <xf numFmtId="188" fontId="63" fillId="0" borderId="28" xfId="0" applyNumberFormat="1" applyFont="1" applyBorder="1" applyAlignment="1">
      <alignment horizontal="center" vertical="center" wrapText="1"/>
    </xf>
    <xf numFmtId="188" fontId="63" fillId="0" borderId="29" xfId="0" applyNumberFormat="1" applyFont="1" applyBorder="1" applyAlignment="1">
      <alignment horizontal="center" vertical="center" wrapText="1"/>
    </xf>
    <xf numFmtId="0" fontId="63" fillId="0" borderId="27" xfId="0" applyFont="1" applyBorder="1" applyAlignment="1">
      <alignment vertical="center" wrapText="1"/>
    </xf>
    <xf numFmtId="188" fontId="63" fillId="10" borderId="28" xfId="0" applyNumberFormat="1" applyFont="1" applyFill="1" applyBorder="1" applyAlignment="1">
      <alignment horizontal="center" vertical="center" wrapText="1"/>
    </xf>
    <xf numFmtId="188" fontId="63" fillId="10" borderId="29" xfId="0" applyNumberFormat="1" applyFont="1" applyFill="1" applyBorder="1" applyAlignment="1">
      <alignment horizontal="center" vertical="center" wrapText="1"/>
    </xf>
    <xf numFmtId="0" fontId="66" fillId="0" borderId="27" xfId="0" applyFont="1" applyBorder="1" applyAlignment="1">
      <alignment vertical="center" wrapText="1"/>
    </xf>
    <xf numFmtId="2" fontId="66" fillId="0" borderId="28" xfId="0" applyNumberFormat="1" applyFont="1" applyBorder="1" applyAlignment="1">
      <alignment horizontal="center" vertical="center" wrapText="1"/>
    </xf>
    <xf numFmtId="2" fontId="66" fillId="0" borderId="29" xfId="0" applyNumberFormat="1" applyFont="1" applyBorder="1" applyAlignment="1">
      <alignment horizontal="center" vertical="center" wrapText="1"/>
    </xf>
    <xf numFmtId="0" fontId="12" fillId="0" borderId="0" xfId="0" applyFont="1" applyFill="1" applyAlignment="1">
      <alignment/>
    </xf>
    <xf numFmtId="0" fontId="12" fillId="0" borderId="11" xfId="0" applyFont="1" applyFill="1" applyBorder="1" applyAlignment="1">
      <alignment horizontal="center" vertical="center" wrapText="1"/>
    </xf>
    <xf numFmtId="0" fontId="64" fillId="0" borderId="0" xfId="0" applyFont="1" applyBorder="1" applyAlignment="1">
      <alignment horizontal="center" vertical="center" wrapText="1"/>
    </xf>
    <xf numFmtId="188" fontId="63" fillId="39" borderId="25" xfId="0" applyNumberFormat="1" applyFont="1" applyFill="1" applyBorder="1" applyAlignment="1">
      <alignment horizontal="center" vertical="center" wrapText="1"/>
    </xf>
    <xf numFmtId="0" fontId="13" fillId="0" borderId="14" xfId="0" applyFont="1" applyFill="1" applyBorder="1" applyAlignment="1">
      <alignment/>
    </xf>
    <xf numFmtId="0" fontId="13" fillId="0" borderId="11" xfId="0" applyFont="1" applyFill="1" applyBorder="1" applyAlignment="1">
      <alignment horizontal="center" wrapText="1"/>
    </xf>
    <xf numFmtId="0" fontId="13" fillId="0" borderId="18" xfId="0" applyFont="1" applyFill="1" applyBorder="1" applyAlignment="1">
      <alignment horizontal="center" wrapText="1"/>
    </xf>
    <xf numFmtId="0" fontId="12" fillId="0" borderId="14" xfId="0" applyFont="1" applyFill="1" applyBorder="1" applyAlignment="1">
      <alignment wrapText="1"/>
    </xf>
    <xf numFmtId="10" fontId="12" fillId="0" borderId="11" xfId="66" applyNumberFormat="1" applyFont="1" applyFill="1" applyBorder="1" applyAlignment="1">
      <alignment/>
    </xf>
    <xf numFmtId="0" fontId="12" fillId="0" borderId="18" xfId="0" applyFont="1" applyFill="1" applyBorder="1" applyAlignment="1">
      <alignment/>
    </xf>
    <xf numFmtId="0" fontId="12" fillId="0" borderId="0" xfId="0" applyFont="1" applyFill="1" applyBorder="1" applyAlignment="1">
      <alignment/>
    </xf>
    <xf numFmtId="0" fontId="12" fillId="0" borderId="11" xfId="0" applyFont="1" applyFill="1" applyBorder="1" applyAlignment="1">
      <alignment/>
    </xf>
    <xf numFmtId="1" fontId="12" fillId="0" borderId="11" xfId="0" applyNumberFormat="1" applyFont="1" applyFill="1" applyBorder="1" applyAlignment="1">
      <alignment/>
    </xf>
    <xf numFmtId="180" fontId="12" fillId="0" borderId="11" xfId="0" applyNumberFormat="1" applyFont="1" applyFill="1" applyBorder="1" applyAlignment="1">
      <alignment/>
    </xf>
    <xf numFmtId="0" fontId="67" fillId="0" borderId="18" xfId="56" applyFont="1" applyFill="1" applyBorder="1" applyAlignment="1" applyProtection="1">
      <alignment/>
      <protection/>
    </xf>
    <xf numFmtId="0" fontId="63" fillId="0" borderId="14" xfId="0" applyFont="1" applyFill="1" applyBorder="1" applyAlignment="1">
      <alignment/>
    </xf>
    <xf numFmtId="0" fontId="63" fillId="0" borderId="11" xfId="42" applyNumberFormat="1" applyFont="1" applyFill="1" applyBorder="1" applyAlignment="1">
      <alignment/>
    </xf>
    <xf numFmtId="0" fontId="63" fillId="0" borderId="18" xfId="0" applyFont="1" applyBorder="1" applyAlignment="1">
      <alignment/>
    </xf>
    <xf numFmtId="0" fontId="14" fillId="0" borderId="0" xfId="56" applyFont="1" applyFill="1" applyAlignment="1" applyProtection="1">
      <alignment/>
      <protection/>
    </xf>
    <xf numFmtId="188" fontId="63" fillId="0" borderId="11" xfId="0" applyNumberFormat="1" applyFont="1" applyFill="1" applyBorder="1" applyAlignment="1">
      <alignment/>
    </xf>
    <xf numFmtId="0" fontId="63" fillId="0" borderId="18" xfId="0" applyFont="1" applyFill="1" applyBorder="1" applyAlignment="1">
      <alignment/>
    </xf>
    <xf numFmtId="0" fontId="13" fillId="0" borderId="0" xfId="0" applyFont="1" applyFill="1" applyAlignment="1">
      <alignment/>
    </xf>
    <xf numFmtId="0" fontId="13" fillId="40" borderId="11" xfId="0" applyFont="1" applyFill="1" applyBorder="1" applyAlignment="1">
      <alignment horizontal="center" vertical="center" wrapText="1"/>
    </xf>
    <xf numFmtId="0" fontId="13" fillId="40" borderId="18" xfId="0" applyFont="1" applyFill="1" applyBorder="1" applyAlignment="1">
      <alignment horizontal="center" vertical="center" wrapText="1"/>
    </xf>
    <xf numFmtId="0" fontId="13" fillId="0" borderId="0" xfId="0" applyFont="1" applyFill="1" applyAlignment="1">
      <alignment horizontal="center" vertical="center"/>
    </xf>
    <xf numFmtId="0" fontId="13" fillId="40" borderId="14" xfId="0" applyFont="1" applyFill="1" applyBorder="1" applyAlignment="1">
      <alignment horizontal="center" vertical="center"/>
    </xf>
    <xf numFmtId="0" fontId="15" fillId="0" borderId="30" xfId="0" applyNumberFormat="1" applyFont="1" applyBorder="1" applyAlignment="1">
      <alignment horizontal="center" vertical="center" wrapText="1"/>
    </xf>
    <xf numFmtId="0" fontId="15" fillId="0" borderId="31" xfId="0" applyNumberFormat="1" applyFont="1" applyBorder="1" applyAlignment="1">
      <alignment horizontal="center" vertical="center" wrapText="1"/>
    </xf>
    <xf numFmtId="0" fontId="15" fillId="0" borderId="32" xfId="0" applyNumberFormat="1" applyFont="1" applyBorder="1" applyAlignment="1">
      <alignment horizontal="center" vertical="center" wrapText="1"/>
    </xf>
    <xf numFmtId="0" fontId="15" fillId="0" borderId="33" xfId="0" applyNumberFormat="1" applyFont="1" applyBorder="1" applyAlignment="1">
      <alignment horizontal="center" vertical="center" wrapText="1"/>
    </xf>
    <xf numFmtId="222" fontId="16" fillId="0" borderId="20" xfId="0" applyNumberFormat="1" applyFont="1" applyBorder="1" applyAlignment="1">
      <alignment horizontal="right" vertical="top" wrapText="1"/>
    </xf>
    <xf numFmtId="223" fontId="16" fillId="0" borderId="20" xfId="0" applyNumberFormat="1" applyFont="1" applyBorder="1" applyAlignment="1">
      <alignment horizontal="right" vertical="top" wrapText="1"/>
    </xf>
    <xf numFmtId="223" fontId="16" fillId="0" borderId="34" xfId="0" applyNumberFormat="1" applyFont="1" applyBorder="1" applyAlignment="1">
      <alignment horizontal="right" vertical="top" wrapText="1"/>
    </xf>
    <xf numFmtId="0" fontId="16" fillId="0" borderId="0" xfId="0" applyNumberFormat="1" applyFont="1" applyAlignment="1">
      <alignment horizontal="left" vertical="center"/>
    </xf>
    <xf numFmtId="0" fontId="12" fillId="0" borderId="0" xfId="0" applyFont="1" applyAlignment="1">
      <alignment horizontal="center" vertical="center"/>
    </xf>
    <xf numFmtId="0" fontId="15" fillId="0" borderId="35" xfId="0" applyNumberFormat="1" applyFont="1" applyBorder="1" applyAlignment="1">
      <alignment horizontal="center" vertical="center" wrapText="1"/>
    </xf>
    <xf numFmtId="0" fontId="16" fillId="0" borderId="36" xfId="0" applyNumberFormat="1" applyFont="1" applyBorder="1" applyAlignment="1">
      <alignment horizontal="center" vertical="center" wrapText="1"/>
    </xf>
    <xf numFmtId="223" fontId="16" fillId="0" borderId="0" xfId="0" applyNumberFormat="1" applyFont="1" applyBorder="1" applyAlignment="1">
      <alignment horizontal="right" vertical="top" wrapText="1"/>
    </xf>
    <xf numFmtId="223" fontId="16" fillId="0" borderId="37" xfId="0" applyNumberFormat="1" applyFont="1" applyBorder="1" applyAlignment="1">
      <alignment horizontal="right" vertical="top" wrapText="1"/>
    </xf>
    <xf numFmtId="0" fontId="16" fillId="0" borderId="27" xfId="0" applyNumberFormat="1" applyFont="1" applyBorder="1" applyAlignment="1">
      <alignment horizontal="center" vertical="center" wrapText="1"/>
    </xf>
    <xf numFmtId="222" fontId="16" fillId="0" borderId="38" xfId="0" applyNumberFormat="1" applyFont="1" applyBorder="1" applyAlignment="1">
      <alignment horizontal="right" vertical="top" wrapText="1"/>
    </xf>
    <xf numFmtId="223" fontId="16" fillId="0" borderId="38" xfId="0" applyNumberFormat="1" applyFont="1" applyBorder="1" applyAlignment="1">
      <alignment horizontal="right" vertical="top" wrapText="1"/>
    </xf>
    <xf numFmtId="223" fontId="16" fillId="0" borderId="28" xfId="0" applyNumberFormat="1" applyFont="1" applyBorder="1" applyAlignment="1">
      <alignment horizontal="right" vertical="top" wrapText="1"/>
    </xf>
    <xf numFmtId="223" fontId="16" fillId="0" borderId="39" xfId="0" applyNumberFormat="1" applyFont="1" applyBorder="1" applyAlignment="1">
      <alignment horizontal="right" vertical="top" wrapText="1"/>
    </xf>
    <xf numFmtId="223" fontId="16" fillId="0" borderId="40" xfId="0" applyNumberFormat="1" applyFont="1" applyBorder="1" applyAlignment="1">
      <alignment horizontal="right" vertical="top" wrapText="1"/>
    </xf>
    <xf numFmtId="0" fontId="8" fillId="0" borderId="0" xfId="0" applyFont="1" applyAlignment="1">
      <alignment horizontal="center" vertical="center" wrapText="1"/>
    </xf>
    <xf numFmtId="3" fontId="8" fillId="0" borderId="0" xfId="0" applyNumberFormat="1" applyFont="1" applyAlignment="1">
      <alignment horizontal="center" vertical="center" wrapText="1"/>
    </xf>
    <xf numFmtId="0" fontId="0" fillId="0" borderId="14" xfId="0" applyFont="1" applyBorder="1" applyAlignment="1">
      <alignment horizontal="center" vertical="center"/>
    </xf>
    <xf numFmtId="0" fontId="0" fillId="0" borderId="11" xfId="0" applyFont="1" applyBorder="1" applyAlignment="1">
      <alignment horizontal="center" vertical="center"/>
    </xf>
    <xf numFmtId="3" fontId="0" fillId="0" borderId="18" xfId="0" applyNumberFormat="1" applyFont="1" applyBorder="1" applyAlignment="1">
      <alignment/>
    </xf>
    <xf numFmtId="3" fontId="0" fillId="0" borderId="0" xfId="0" applyNumberFormat="1" applyFont="1" applyAlignment="1">
      <alignment/>
    </xf>
    <xf numFmtId="3" fontId="0" fillId="0" borderId="11" xfId="0" applyNumberFormat="1" applyFont="1" applyBorder="1" applyAlignment="1">
      <alignment horizontal="righ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3" fontId="0" fillId="0" borderId="17" xfId="0" applyNumberFormat="1" applyFont="1" applyBorder="1" applyAlignment="1">
      <alignment horizontal="right" vertical="center"/>
    </xf>
    <xf numFmtId="3" fontId="0" fillId="0" borderId="19" xfId="0" applyNumberFormat="1" applyFont="1" applyBorder="1" applyAlignment="1">
      <alignment/>
    </xf>
    <xf numFmtId="0" fontId="0" fillId="0" borderId="0" xfId="0" applyFont="1" applyAlignment="1">
      <alignment horizontal="center" vertical="center"/>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0" xfId="0" applyFont="1" applyAlignment="1">
      <alignment horizontal="center" vertical="center" wrapText="1"/>
    </xf>
    <xf numFmtId="3" fontId="13" fillId="0" borderId="41" xfId="0" applyNumberFormat="1" applyFont="1" applyBorder="1" applyAlignment="1">
      <alignment horizontal="center" vertical="center" wrapText="1"/>
    </xf>
    <xf numFmtId="3" fontId="13" fillId="0" borderId="0" xfId="0" applyNumberFormat="1" applyFont="1" applyAlignment="1">
      <alignment horizontal="center" vertical="center" wrapText="1"/>
    </xf>
    <xf numFmtId="0" fontId="13" fillId="0" borderId="11"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42" xfId="0" applyFont="1" applyBorder="1" applyAlignment="1">
      <alignment horizontal="center" vertical="center" wrapText="1"/>
    </xf>
    <xf numFmtId="3" fontId="13" fillId="0" borderId="11" xfId="0" applyNumberFormat="1" applyFont="1" applyBorder="1" applyAlignment="1">
      <alignment horizontal="center" vertical="center" wrapText="1"/>
    </xf>
    <xf numFmtId="172" fontId="12" fillId="0" borderId="16" xfId="66" applyNumberFormat="1" applyFont="1" applyBorder="1" applyAlignment="1">
      <alignment/>
    </xf>
    <xf numFmtId="172" fontId="12" fillId="0" borderId="17" xfId="66" applyNumberFormat="1" applyFont="1" applyBorder="1" applyAlignment="1">
      <alignment/>
    </xf>
    <xf numFmtId="172" fontId="12" fillId="0" borderId="19" xfId="66" applyNumberFormat="1" applyFont="1" applyBorder="1" applyAlignment="1">
      <alignment/>
    </xf>
    <xf numFmtId="0" fontId="12" fillId="0" borderId="14" xfId="0" applyFont="1" applyBorder="1" applyAlignment="1">
      <alignment horizontal="center" vertical="center"/>
    </xf>
    <xf numFmtId="0" fontId="12" fillId="0" borderId="11" xfId="0" applyFont="1" applyBorder="1" applyAlignment="1">
      <alignment horizontal="center" vertical="center"/>
    </xf>
    <xf numFmtId="3" fontId="12" fillId="0" borderId="11" xfId="0" applyNumberFormat="1" applyFont="1" applyBorder="1" applyAlignment="1">
      <alignment/>
    </xf>
    <xf numFmtId="3" fontId="12" fillId="0" borderId="18" xfId="0" applyNumberFormat="1" applyFont="1" applyBorder="1" applyAlignment="1">
      <alignment/>
    </xf>
    <xf numFmtId="3" fontId="12" fillId="0" borderId="0" xfId="0" applyNumberFormat="1" applyFont="1" applyAlignment="1">
      <alignment/>
    </xf>
    <xf numFmtId="3" fontId="12" fillId="0" borderId="11" xfId="0" applyNumberFormat="1" applyFont="1" applyBorder="1" applyAlignment="1">
      <alignment horizontal="right"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3" fontId="12" fillId="0" borderId="17" xfId="0" applyNumberFormat="1" applyFont="1" applyBorder="1" applyAlignment="1">
      <alignment horizontal="right" vertical="center"/>
    </xf>
    <xf numFmtId="3" fontId="12" fillId="0" borderId="19" xfId="0" applyNumberFormat="1" applyFont="1" applyBorder="1" applyAlignment="1">
      <alignment/>
    </xf>
    <xf numFmtId="3" fontId="13" fillId="0" borderId="43" xfId="0" applyNumberFormat="1" applyFont="1" applyBorder="1" applyAlignment="1">
      <alignment horizontal="center" vertical="center"/>
    </xf>
    <xf numFmtId="0" fontId="13" fillId="0" borderId="12" xfId="0" applyFont="1" applyFill="1" applyBorder="1" applyAlignment="1">
      <alignment horizontal="center" vertical="center" wrapText="1"/>
    </xf>
    <xf numFmtId="3" fontId="13" fillId="0" borderId="13" xfId="0" applyNumberFormat="1" applyFont="1" applyFill="1" applyBorder="1" applyAlignment="1">
      <alignment horizontal="center" vertical="center" wrapText="1"/>
    </xf>
    <xf numFmtId="3" fontId="13" fillId="0" borderId="13" xfId="0" applyNumberFormat="1" applyFont="1" applyBorder="1" applyAlignment="1">
      <alignment horizontal="center" vertical="center" wrapText="1"/>
    </xf>
    <xf numFmtId="3" fontId="13" fillId="0" borderId="15" xfId="0" applyNumberFormat="1" applyFont="1" applyBorder="1" applyAlignment="1">
      <alignment horizontal="center" vertical="center" wrapText="1"/>
    </xf>
    <xf numFmtId="3" fontId="13" fillId="0" borderId="44" xfId="0" applyNumberFormat="1" applyFont="1" applyBorder="1" applyAlignment="1">
      <alignment horizontal="center" vertical="center" wrapText="1"/>
    </xf>
    <xf numFmtId="3" fontId="13" fillId="0" borderId="12" xfId="0" applyNumberFormat="1" applyFont="1" applyBorder="1" applyAlignment="1">
      <alignment horizontal="center" vertical="center" wrapText="1"/>
    </xf>
    <xf numFmtId="3" fontId="13" fillId="0" borderId="45" xfId="0" applyNumberFormat="1" applyFont="1" applyBorder="1" applyAlignment="1">
      <alignment horizontal="center" vertical="center" wrapText="1"/>
    </xf>
    <xf numFmtId="0" fontId="13" fillId="0" borderId="0" xfId="0" applyFont="1" applyFill="1" applyAlignment="1">
      <alignment horizontal="center" vertical="center" wrapText="1"/>
    </xf>
    <xf numFmtId="0" fontId="12" fillId="0" borderId="14" xfId="0" applyFont="1" applyFill="1" applyBorder="1" applyAlignment="1">
      <alignment horizontal="center" vertical="center"/>
    </xf>
    <xf numFmtId="3" fontId="12" fillId="0" borderId="11" xfId="0" applyNumberFormat="1" applyFont="1" applyFill="1" applyBorder="1" applyAlignment="1">
      <alignment/>
    </xf>
    <xf numFmtId="3" fontId="12" fillId="0" borderId="24" xfId="0" applyNumberFormat="1" applyFont="1" applyBorder="1" applyAlignment="1">
      <alignment/>
    </xf>
    <xf numFmtId="3" fontId="12" fillId="0" borderId="46" xfId="0" applyNumberFormat="1" applyFont="1" applyBorder="1" applyAlignment="1">
      <alignment/>
    </xf>
    <xf numFmtId="3" fontId="12" fillId="0" borderId="14" xfId="0" applyNumberFormat="1" applyFont="1" applyBorder="1" applyAlignment="1">
      <alignment/>
    </xf>
    <xf numFmtId="3" fontId="13" fillId="0" borderId="17" xfId="0" applyNumberFormat="1" applyFont="1" applyFill="1" applyBorder="1" applyAlignment="1">
      <alignment/>
    </xf>
    <xf numFmtId="3" fontId="13" fillId="0" borderId="17" xfId="0" applyNumberFormat="1" applyFont="1" applyBorder="1" applyAlignment="1">
      <alignment/>
    </xf>
    <xf numFmtId="3" fontId="13" fillId="0" borderId="19" xfId="0" applyNumberFormat="1" applyFont="1" applyBorder="1" applyAlignment="1">
      <alignment/>
    </xf>
    <xf numFmtId="3" fontId="13" fillId="0" borderId="16" xfId="0" applyNumberFormat="1" applyFont="1" applyBorder="1" applyAlignment="1">
      <alignment/>
    </xf>
    <xf numFmtId="3" fontId="13" fillId="0" borderId="47" xfId="0" applyNumberFormat="1" applyFont="1" applyBorder="1" applyAlignment="1">
      <alignment/>
    </xf>
    <xf numFmtId="0" fontId="13" fillId="0" borderId="0" xfId="0" applyFont="1" applyAlignment="1">
      <alignment/>
    </xf>
    <xf numFmtId="0" fontId="12" fillId="0" borderId="0" xfId="0" applyFont="1" applyFill="1" applyAlignment="1">
      <alignment horizontal="center" vertical="center"/>
    </xf>
    <xf numFmtId="3" fontId="12" fillId="0" borderId="0" xfId="0" applyNumberFormat="1" applyFont="1" applyFill="1" applyAlignment="1">
      <alignment/>
    </xf>
    <xf numFmtId="0" fontId="13" fillId="0" borderId="13" xfId="0" applyFont="1" applyFill="1" applyBorder="1" applyAlignment="1">
      <alignment horizontal="center" vertical="center" wrapText="1"/>
    </xf>
    <xf numFmtId="0" fontId="13" fillId="0" borderId="15" xfId="0" applyFont="1" applyFill="1" applyBorder="1" applyAlignment="1">
      <alignment horizontal="center" vertical="center" wrapText="1"/>
    </xf>
    <xf numFmtId="3" fontId="12" fillId="0" borderId="11" xfId="42" applyNumberFormat="1" applyFont="1" applyFill="1" applyBorder="1" applyAlignment="1">
      <alignment horizontal="right" vertical="center"/>
    </xf>
    <xf numFmtId="166" fontId="12" fillId="0" borderId="11" xfId="0" applyNumberFormat="1" applyFont="1" applyFill="1" applyBorder="1" applyAlignment="1">
      <alignment horizontal="right" vertical="center"/>
    </xf>
    <xf numFmtId="3" fontId="12" fillId="0" borderId="18" xfId="42" applyNumberFormat="1" applyFont="1" applyFill="1" applyBorder="1" applyAlignment="1">
      <alignment horizontal="right" vertical="center"/>
    </xf>
    <xf numFmtId="0" fontId="12" fillId="0" borderId="11" xfId="0" applyFont="1" applyFill="1" applyBorder="1" applyAlignment="1">
      <alignment horizontal="center" vertical="center"/>
    </xf>
    <xf numFmtId="0" fontId="12" fillId="0" borderId="16" xfId="0" applyFont="1" applyFill="1" applyBorder="1" applyAlignment="1">
      <alignment horizontal="center" vertical="center"/>
    </xf>
    <xf numFmtId="0" fontId="13" fillId="0" borderId="17" xfId="0" applyFont="1" applyFill="1" applyBorder="1" applyAlignment="1">
      <alignment horizontal="center" vertical="center"/>
    </xf>
    <xf numFmtId="165" fontId="13" fillId="0" borderId="17" xfId="0" applyNumberFormat="1" applyFont="1" applyFill="1" applyBorder="1" applyAlignment="1">
      <alignment horizontal="right" vertical="center"/>
    </xf>
    <xf numFmtId="165" fontId="13" fillId="0" borderId="19" xfId="0" applyNumberFormat="1" applyFont="1" applyFill="1" applyBorder="1" applyAlignment="1">
      <alignment horizontal="right" vertical="center"/>
    </xf>
    <xf numFmtId="3" fontId="12" fillId="0" borderId="14" xfId="42" applyNumberFormat="1" applyFont="1" applyFill="1" applyBorder="1" applyAlignment="1">
      <alignment horizontal="right" vertical="center"/>
    </xf>
    <xf numFmtId="0" fontId="66" fillId="0" borderId="12" xfId="0" applyFont="1" applyBorder="1" applyAlignment="1">
      <alignment horizontal="center" vertical="center" wrapText="1"/>
    </xf>
    <xf numFmtId="0" fontId="13" fillId="0" borderId="0" xfId="0" applyFont="1" applyAlignment="1">
      <alignment wrapText="1"/>
    </xf>
    <xf numFmtId="3" fontId="12" fillId="0" borderId="14" xfId="48" applyNumberFormat="1" applyFont="1" applyBorder="1" applyAlignment="1">
      <alignment horizontal="right" vertical="center"/>
    </xf>
    <xf numFmtId="3" fontId="12" fillId="0" borderId="18" xfId="0" applyNumberFormat="1" applyFont="1" applyBorder="1" applyAlignment="1">
      <alignment horizontal="right" vertical="center"/>
    </xf>
    <xf numFmtId="3" fontId="13" fillId="0" borderId="16" xfId="0" applyNumberFormat="1" applyFont="1" applyBorder="1" applyAlignment="1">
      <alignment horizontal="right" vertical="center"/>
    </xf>
    <xf numFmtId="3" fontId="13" fillId="0" borderId="17" xfId="0" applyNumberFormat="1" applyFont="1" applyBorder="1" applyAlignment="1">
      <alignment horizontal="right" vertical="center"/>
    </xf>
    <xf numFmtId="3" fontId="13" fillId="0" borderId="19" xfId="0" applyNumberFormat="1" applyFont="1" applyBorder="1" applyAlignment="1">
      <alignment horizontal="right" vertical="center"/>
    </xf>
    <xf numFmtId="207" fontId="12" fillId="0" borderId="0" xfId="42" applyNumberFormat="1" applyFont="1" applyAlignment="1">
      <alignment/>
    </xf>
    <xf numFmtId="188" fontId="12" fillId="0" borderId="0" xfId="42" applyNumberFormat="1" applyFont="1" applyAlignment="1">
      <alignment/>
    </xf>
    <xf numFmtId="207" fontId="13" fillId="0" borderId="13" xfId="42" applyNumberFormat="1" applyFont="1" applyBorder="1" applyAlignment="1">
      <alignment horizontal="center" vertical="center" wrapText="1"/>
    </xf>
    <xf numFmtId="188" fontId="13" fillId="0" borderId="13" xfId="42" applyNumberFormat="1" applyFont="1" applyBorder="1" applyAlignment="1">
      <alignment horizontal="center" vertical="center" wrapText="1"/>
    </xf>
    <xf numFmtId="188" fontId="13" fillId="0" borderId="15" xfId="42" applyNumberFormat="1" applyFont="1" applyBorder="1" applyAlignment="1">
      <alignment horizontal="center" vertical="center" wrapText="1"/>
    </xf>
    <xf numFmtId="207" fontId="12" fillId="0" borderId="11" xfId="42" applyNumberFormat="1" applyFont="1" applyBorder="1" applyAlignment="1">
      <alignment/>
    </xf>
    <xf numFmtId="188" fontId="12" fillId="0" borderId="11" xfId="42" applyNumberFormat="1" applyFont="1" applyBorder="1" applyAlignment="1">
      <alignment/>
    </xf>
    <xf numFmtId="188" fontId="12" fillId="0" borderId="18" xfId="42" applyNumberFormat="1" applyFont="1" applyBorder="1" applyAlignment="1">
      <alignment/>
    </xf>
    <xf numFmtId="207" fontId="13" fillId="0" borderId="17" xfId="42" applyNumberFormat="1" applyFont="1" applyBorder="1" applyAlignment="1">
      <alignment/>
    </xf>
    <xf numFmtId="188" fontId="13" fillId="0" borderId="17" xfId="42" applyNumberFormat="1" applyFont="1" applyBorder="1" applyAlignment="1">
      <alignment/>
    </xf>
    <xf numFmtId="188" fontId="13" fillId="0" borderId="19" xfId="42" applyNumberFormat="1" applyFont="1" applyBorder="1" applyAlignment="1">
      <alignment/>
    </xf>
    <xf numFmtId="0" fontId="18" fillId="0" borderId="11" xfId="0" applyFont="1" applyBorder="1" applyAlignment="1">
      <alignment horizontal="center" vertical="center" wrapText="1"/>
    </xf>
    <xf numFmtId="0" fontId="18" fillId="0" borderId="11" xfId="0" applyFont="1" applyBorder="1" applyAlignment="1">
      <alignment horizontal="center" vertical="center"/>
    </xf>
    <xf numFmtId="0" fontId="18" fillId="0" borderId="18" xfId="0" applyFont="1" applyBorder="1" applyAlignment="1">
      <alignment horizontal="center" vertical="center"/>
    </xf>
    <xf numFmtId="0" fontId="18" fillId="0" borderId="0" xfId="0" applyFont="1" applyAlignment="1">
      <alignment horizontal="center" vertical="center"/>
    </xf>
    <xf numFmtId="188" fontId="12" fillId="0" borderId="11" xfId="0" applyNumberFormat="1" applyFont="1" applyBorder="1" applyAlignment="1">
      <alignment/>
    </xf>
    <xf numFmtId="188" fontId="12" fillId="0" borderId="11" xfId="0" applyNumberFormat="1" applyFont="1" applyFill="1" applyBorder="1" applyAlignment="1">
      <alignment/>
    </xf>
    <xf numFmtId="188" fontId="12" fillId="0" borderId="18" xfId="0" applyNumberFormat="1" applyFont="1" applyBorder="1" applyAlignment="1">
      <alignment/>
    </xf>
    <xf numFmtId="0" fontId="19" fillId="0" borderId="0" xfId="0" applyFont="1" applyAlignment="1">
      <alignment/>
    </xf>
    <xf numFmtId="188" fontId="12" fillId="0" borderId="0" xfId="0" applyNumberFormat="1" applyFont="1" applyAlignment="1">
      <alignment/>
    </xf>
    <xf numFmtId="0" fontId="13" fillId="0" borderId="13" xfId="61" applyFont="1" applyFill="1" applyBorder="1" applyAlignment="1">
      <alignment horizontal="center" vertical="center" wrapText="1"/>
      <protection/>
    </xf>
    <xf numFmtId="0" fontId="12" fillId="0" borderId="11" xfId="61" applyFont="1" applyFill="1" applyBorder="1" applyAlignment="1">
      <alignment horizontal="center" vertical="center" wrapText="1"/>
      <protection/>
    </xf>
    <xf numFmtId="188" fontId="12" fillId="0" borderId="11" xfId="44" applyNumberFormat="1" applyFont="1" applyFill="1" applyBorder="1" applyAlignment="1">
      <alignment horizontal="right" vertical="center"/>
    </xf>
    <xf numFmtId="0" fontId="12" fillId="0" borderId="11" xfId="61" applyFont="1" applyFill="1" applyBorder="1" applyAlignment="1">
      <alignment horizontal="center" vertical="center"/>
      <protection/>
    </xf>
    <xf numFmtId="0" fontId="13" fillId="0" borderId="12" xfId="61" applyFont="1" applyBorder="1" applyAlignment="1">
      <alignment horizontal="center" vertical="center" wrapText="1"/>
      <protection/>
    </xf>
    <xf numFmtId="0" fontId="13" fillId="0" borderId="13" xfId="61" applyFont="1" applyBorder="1" applyAlignment="1">
      <alignment horizontal="center" vertical="center" wrapText="1"/>
      <protection/>
    </xf>
    <xf numFmtId="0" fontId="13" fillId="0" borderId="15" xfId="61" applyFont="1" applyBorder="1" applyAlignment="1">
      <alignment horizontal="center" vertical="center" wrapText="1"/>
      <protection/>
    </xf>
    <xf numFmtId="0" fontId="13" fillId="0" borderId="0" xfId="61" applyFont="1" applyAlignment="1">
      <alignment horizontal="center" vertical="center" wrapText="1"/>
      <protection/>
    </xf>
    <xf numFmtId="0" fontId="12" fillId="0" borderId="14" xfId="61" applyFont="1" applyBorder="1" applyAlignment="1">
      <alignment horizontal="center" vertical="center"/>
      <protection/>
    </xf>
    <xf numFmtId="188" fontId="12" fillId="0" borderId="18" xfId="61" applyNumberFormat="1" applyFont="1" applyBorder="1" applyAlignment="1">
      <alignment horizontal="right" vertical="center"/>
      <protection/>
    </xf>
    <xf numFmtId="0" fontId="12" fillId="0" borderId="0" xfId="61" applyFont="1">
      <alignment/>
      <protection/>
    </xf>
    <xf numFmtId="188" fontId="12" fillId="0" borderId="11" xfId="61" applyNumberFormat="1" applyFont="1" applyBorder="1" applyAlignment="1">
      <alignment horizontal="right" vertical="center"/>
      <protection/>
    </xf>
    <xf numFmtId="188" fontId="13" fillId="0" borderId="17" xfId="61" applyNumberFormat="1" applyFont="1" applyBorder="1" applyAlignment="1">
      <alignment horizontal="right" vertical="center"/>
      <protection/>
    </xf>
    <xf numFmtId="188" fontId="13" fillId="0" borderId="19" xfId="61" applyNumberFormat="1" applyFont="1" applyBorder="1" applyAlignment="1">
      <alignment horizontal="right" vertical="center"/>
      <protection/>
    </xf>
    <xf numFmtId="0" fontId="12" fillId="0" borderId="0" xfId="61" applyFont="1" applyAlignment="1">
      <alignment horizontal="center" vertical="center"/>
      <protection/>
    </xf>
    <xf numFmtId="3" fontId="12" fillId="0" borderId="11" xfId="44" applyNumberFormat="1" applyFont="1" applyFill="1" applyBorder="1" applyAlignment="1">
      <alignment horizontal="right" vertical="center"/>
    </xf>
    <xf numFmtId="188" fontId="12" fillId="0" borderId="11" xfId="44" applyNumberFormat="1" applyFont="1" applyFill="1" applyBorder="1" applyAlignment="1">
      <alignment horizontal="right"/>
    </xf>
    <xf numFmtId="188" fontId="12" fillId="0" borderId="18" xfId="44" applyNumberFormat="1" applyFont="1" applyFill="1" applyBorder="1" applyAlignment="1">
      <alignment horizontal="right"/>
    </xf>
    <xf numFmtId="165" fontId="12" fillId="0" borderId="0" xfId="44" applyNumberFormat="1" applyFont="1" applyFill="1" applyBorder="1" applyAlignment="1">
      <alignment horizontal="center"/>
    </xf>
    <xf numFmtId="0" fontId="66" fillId="0" borderId="14"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6" fillId="0" borderId="46"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6" fillId="0" borderId="16" xfId="0" applyFont="1" applyFill="1" applyBorder="1" applyAlignment="1">
      <alignment/>
    </xf>
    <xf numFmtId="0" fontId="66" fillId="0" borderId="17" xfId="0" applyFont="1" applyFill="1" applyBorder="1" applyAlignment="1">
      <alignment/>
    </xf>
    <xf numFmtId="188" fontId="66" fillId="0" borderId="47" xfId="0" applyNumberFormat="1" applyFont="1" applyFill="1" applyBorder="1" applyAlignment="1">
      <alignment/>
    </xf>
    <xf numFmtId="187" fontId="66" fillId="0" borderId="16" xfId="0" applyNumberFormat="1" applyFont="1" applyFill="1" applyBorder="1" applyAlignment="1">
      <alignment/>
    </xf>
    <xf numFmtId="187" fontId="66" fillId="0" borderId="17" xfId="0" applyNumberFormat="1" applyFont="1" applyFill="1" applyBorder="1" applyAlignment="1">
      <alignment/>
    </xf>
    <xf numFmtId="187" fontId="66" fillId="0" borderId="19" xfId="0" applyNumberFormat="1" applyFont="1" applyFill="1" applyBorder="1" applyAlignment="1">
      <alignment/>
    </xf>
    <xf numFmtId="187" fontId="66" fillId="0" borderId="48" xfId="0" applyNumberFormat="1" applyFont="1" applyFill="1" applyBorder="1" applyAlignment="1">
      <alignment/>
    </xf>
    <xf numFmtId="0" fontId="13" fillId="0" borderId="0" xfId="61" applyFont="1" applyBorder="1" applyAlignment="1">
      <alignment horizontal="center" vertical="center" wrapText="1"/>
      <protection/>
    </xf>
    <xf numFmtId="188" fontId="12" fillId="0" borderId="11" xfId="61" applyNumberFormat="1" applyFont="1" applyBorder="1">
      <alignment/>
      <protection/>
    </xf>
    <xf numFmtId="0" fontId="12" fillId="0" borderId="0" xfId="61" applyFont="1" applyBorder="1">
      <alignment/>
      <protection/>
    </xf>
    <xf numFmtId="3" fontId="12" fillId="0" borderId="11" xfId="61" applyNumberFormat="1" applyFont="1" applyBorder="1" applyAlignment="1">
      <alignment horizontal="right" vertical="center"/>
      <protection/>
    </xf>
    <xf numFmtId="188" fontId="12" fillId="0" borderId="11" xfId="61" applyNumberFormat="1" applyFont="1" applyBorder="1" applyAlignment="1">
      <alignment horizontal="right"/>
      <protection/>
    </xf>
    <xf numFmtId="188" fontId="12" fillId="0" borderId="18" xfId="61" applyNumberFormat="1" applyFont="1" applyBorder="1" applyAlignment="1">
      <alignment horizontal="right"/>
      <protection/>
    </xf>
    <xf numFmtId="188" fontId="12" fillId="0" borderId="0" xfId="61" applyNumberFormat="1" applyFont="1" applyBorder="1">
      <alignment/>
      <protection/>
    </xf>
    <xf numFmtId="175" fontId="12" fillId="0" borderId="0" xfId="0" applyNumberFormat="1" applyFont="1" applyFill="1" applyBorder="1" applyAlignment="1">
      <alignment/>
    </xf>
    <xf numFmtId="0" fontId="66" fillId="0" borderId="0" xfId="0" applyFont="1" applyFill="1" applyBorder="1" applyAlignment="1">
      <alignment vertical="center" wrapText="1"/>
    </xf>
    <xf numFmtId="0" fontId="66" fillId="0" borderId="0" xfId="0" applyFont="1" applyFill="1" applyBorder="1" applyAlignment="1">
      <alignment/>
    </xf>
    <xf numFmtId="175" fontId="66" fillId="0" borderId="0" xfId="0" applyNumberFormat="1" applyFont="1" applyFill="1" applyBorder="1" applyAlignment="1">
      <alignment/>
    </xf>
    <xf numFmtId="3" fontId="13" fillId="0" borderId="17" xfId="61" applyNumberFormat="1" applyFont="1" applyBorder="1">
      <alignment/>
      <protection/>
    </xf>
    <xf numFmtId="188" fontId="13" fillId="0" borderId="17" xfId="61" applyNumberFormat="1" applyFont="1" applyBorder="1">
      <alignment/>
      <protection/>
    </xf>
    <xf numFmtId="188" fontId="13" fillId="0" borderId="19" xfId="61" applyNumberFormat="1" applyFont="1" applyBorder="1">
      <alignment/>
      <protection/>
    </xf>
    <xf numFmtId="188" fontId="13" fillId="0" borderId="0" xfId="61" applyNumberFormat="1" applyFont="1" applyBorder="1">
      <alignment/>
      <protection/>
    </xf>
    <xf numFmtId="0" fontId="68" fillId="40" borderId="49" xfId="60" applyFont="1" applyFill="1" applyBorder="1" applyAlignment="1">
      <alignment horizontal="center" vertical="center" wrapText="1"/>
      <protection/>
    </xf>
    <xf numFmtId="0" fontId="68" fillId="40" borderId="50" xfId="60" applyFont="1" applyFill="1" applyBorder="1" applyAlignment="1">
      <alignment horizontal="center" vertical="center" wrapText="1"/>
      <protection/>
    </xf>
    <xf numFmtId="188" fontId="68" fillId="40" borderId="50" xfId="60" applyNumberFormat="1" applyFont="1" applyFill="1" applyBorder="1" applyAlignment="1">
      <alignment horizontal="center" vertical="center" wrapText="1"/>
      <protection/>
    </xf>
    <xf numFmtId="188" fontId="68" fillId="40" borderId="51" xfId="60" applyNumberFormat="1" applyFont="1" applyFill="1" applyBorder="1" applyAlignment="1">
      <alignment horizontal="center" vertical="center" wrapText="1"/>
      <protection/>
    </xf>
    <xf numFmtId="0" fontId="69" fillId="0" borderId="14" xfId="60" applyFont="1" applyFill="1" applyBorder="1" applyAlignment="1">
      <alignment vertical="center" wrapText="1"/>
      <protection/>
    </xf>
    <xf numFmtId="0" fontId="69" fillId="0" borderId="11" xfId="60" applyFont="1" applyFill="1" applyBorder="1" applyAlignment="1">
      <alignment horizontal="center" vertical="center" wrapText="1"/>
      <protection/>
    </xf>
    <xf numFmtId="188" fontId="69" fillId="0" borderId="11" xfId="60" applyNumberFormat="1" applyFont="1" applyFill="1" applyBorder="1" applyAlignment="1">
      <alignment horizontal="right" vertical="center" wrapText="1"/>
      <protection/>
    </xf>
    <xf numFmtId="188" fontId="69" fillId="0" borderId="18" xfId="60" applyNumberFormat="1" applyFont="1" applyFill="1" applyBorder="1" applyAlignment="1">
      <alignment horizontal="right" vertical="center" wrapText="1"/>
      <protection/>
    </xf>
    <xf numFmtId="188" fontId="68" fillId="5" borderId="18" xfId="60" applyNumberFormat="1" applyFont="1" applyFill="1" applyBorder="1" applyAlignment="1">
      <alignment horizontal="right" vertical="center" wrapText="1"/>
      <protection/>
    </xf>
    <xf numFmtId="198" fontId="12" fillId="0" borderId="0" xfId="0" applyNumberFormat="1" applyFont="1" applyAlignment="1">
      <alignment/>
    </xf>
    <xf numFmtId="188" fontId="68" fillId="39" borderId="18" xfId="60" applyNumberFormat="1" applyFont="1" applyFill="1" applyBorder="1" applyAlignment="1">
      <alignment horizontal="right" vertical="center" wrapText="1"/>
      <protection/>
    </xf>
    <xf numFmtId="188" fontId="68" fillId="39" borderId="19" xfId="60" applyNumberFormat="1" applyFont="1" applyFill="1" applyBorder="1" applyAlignment="1">
      <alignment horizontal="right" vertical="center" wrapText="1"/>
      <protection/>
    </xf>
    <xf numFmtId="0" fontId="12" fillId="0" borderId="14" xfId="60" applyFont="1" applyFill="1" applyBorder="1" applyAlignment="1">
      <alignment/>
      <protection/>
    </xf>
    <xf numFmtId="0" fontId="12" fillId="0" borderId="11" xfId="60" applyFont="1" applyFill="1" applyBorder="1" applyAlignment="1">
      <alignment/>
      <protection/>
    </xf>
    <xf numFmtId="188" fontId="12" fillId="0" borderId="11" xfId="60" applyNumberFormat="1" applyFont="1" applyFill="1" applyBorder="1" applyAlignment="1">
      <alignment/>
      <protection/>
    </xf>
    <xf numFmtId="188" fontId="12" fillId="0" borderId="18" xfId="60" applyNumberFormat="1" applyFont="1" applyFill="1" applyBorder="1" applyAlignment="1">
      <alignment/>
      <protection/>
    </xf>
    <xf numFmtId="189" fontId="12" fillId="0" borderId="0" xfId="0" applyNumberFormat="1" applyFont="1" applyFill="1" applyAlignment="1">
      <alignment/>
    </xf>
    <xf numFmtId="0" fontId="69" fillId="0" borderId="14" xfId="0" applyFont="1" applyFill="1" applyBorder="1" applyAlignment="1">
      <alignment vertical="center"/>
    </xf>
    <xf numFmtId="3" fontId="69" fillId="0" borderId="11" xfId="0" applyNumberFormat="1" applyFont="1" applyFill="1" applyBorder="1" applyAlignment="1">
      <alignment horizontal="right" vertical="center"/>
    </xf>
    <xf numFmtId="0" fontId="69" fillId="0" borderId="11" xfId="0" applyFont="1" applyFill="1" applyBorder="1" applyAlignment="1">
      <alignment vertical="center"/>
    </xf>
    <xf numFmtId="188" fontId="69" fillId="0" borderId="11" xfId="0" applyNumberFormat="1" applyFont="1" applyFill="1" applyBorder="1" applyAlignment="1">
      <alignment horizontal="right" vertical="center"/>
    </xf>
    <xf numFmtId="188" fontId="69" fillId="0" borderId="18" xfId="0" applyNumberFormat="1" applyFont="1" applyFill="1" applyBorder="1" applyAlignment="1">
      <alignment horizontal="right" vertical="center"/>
    </xf>
    <xf numFmtId="6" fontId="12" fillId="0" borderId="0" xfId="0" applyNumberFormat="1" applyFont="1" applyAlignment="1">
      <alignment/>
    </xf>
    <xf numFmtId="188" fontId="68" fillId="39" borderId="18" xfId="0" applyNumberFormat="1" applyFont="1" applyFill="1" applyBorder="1" applyAlignment="1">
      <alignment horizontal="right" vertical="center"/>
    </xf>
    <xf numFmtId="188" fontId="68" fillId="39" borderId="51" xfId="0" applyNumberFormat="1" applyFont="1" applyFill="1" applyBorder="1" applyAlignment="1">
      <alignment horizontal="right" vertical="center"/>
    </xf>
    <xf numFmtId="188" fontId="70" fillId="40" borderId="19" xfId="60" applyNumberFormat="1" applyFont="1" applyFill="1" applyBorder="1" applyAlignment="1">
      <alignment horizontal="right" vertical="center" wrapText="1"/>
      <protection/>
    </xf>
    <xf numFmtId="0" fontId="63" fillId="0" borderId="0" xfId="0" applyFont="1" applyAlignment="1">
      <alignment/>
    </xf>
    <xf numFmtId="0" fontId="66" fillId="0" borderId="12" xfId="0" applyFont="1" applyFill="1" applyBorder="1" applyAlignment="1">
      <alignment horizontal="center" vertical="center" wrapText="1"/>
    </xf>
    <xf numFmtId="0" fontId="66" fillId="0" borderId="0" xfId="0" applyFont="1" applyAlignment="1">
      <alignment horizontal="center" vertical="center" wrapText="1"/>
    </xf>
    <xf numFmtId="0" fontId="66" fillId="0" borderId="52" xfId="0" applyFont="1" applyFill="1" applyBorder="1" applyAlignment="1">
      <alignment horizontal="center" vertical="center" wrapText="1"/>
    </xf>
    <xf numFmtId="0" fontId="12" fillId="0" borderId="0" xfId="0" applyFont="1" applyAlignment="1">
      <alignment horizontal="right"/>
    </xf>
    <xf numFmtId="0" fontId="63" fillId="0" borderId="14" xfId="0" applyFont="1" applyFill="1" applyBorder="1" applyAlignment="1">
      <alignment horizontal="center" vertical="center"/>
    </xf>
    <xf numFmtId="9" fontId="63" fillId="0" borderId="11" xfId="66" applyFont="1" applyFill="1" applyBorder="1" applyAlignment="1">
      <alignment/>
    </xf>
    <xf numFmtId="9" fontId="63" fillId="0" borderId="18" xfId="66" applyFont="1" applyFill="1" applyBorder="1" applyAlignment="1">
      <alignment/>
    </xf>
    <xf numFmtId="0" fontId="63" fillId="0" borderId="24" xfId="0" applyFont="1" applyFill="1" applyBorder="1" applyAlignment="1">
      <alignment horizontal="center" vertical="center"/>
    </xf>
    <xf numFmtId="188" fontId="63" fillId="0" borderId="14" xfId="0" applyNumberFormat="1" applyFont="1" applyFill="1" applyBorder="1" applyAlignment="1">
      <alignment/>
    </xf>
    <xf numFmtId="188" fontId="63" fillId="0" borderId="18" xfId="0" applyNumberFormat="1" applyFont="1" applyFill="1" applyBorder="1" applyAlignment="1">
      <alignment/>
    </xf>
    <xf numFmtId="188" fontId="63" fillId="0" borderId="52" xfId="0" applyNumberFormat="1" applyFont="1" applyFill="1" applyBorder="1" applyAlignment="1">
      <alignment/>
    </xf>
    <xf numFmtId="188" fontId="63" fillId="0" borderId="46" xfId="0" applyNumberFormat="1" applyFont="1" applyFill="1" applyBorder="1" applyAlignment="1">
      <alignment/>
    </xf>
    <xf numFmtId="0" fontId="63" fillId="0" borderId="16" xfId="0" applyFont="1" applyFill="1" applyBorder="1" applyAlignment="1">
      <alignment horizontal="center" vertical="center"/>
    </xf>
    <xf numFmtId="9" fontId="63" fillId="0" borderId="17" xfId="66" applyFont="1" applyFill="1" applyBorder="1" applyAlignment="1">
      <alignment/>
    </xf>
    <xf numFmtId="9" fontId="63" fillId="0" borderId="19" xfId="66" applyFont="1" applyFill="1" applyBorder="1" applyAlignment="1">
      <alignment/>
    </xf>
    <xf numFmtId="0" fontId="63" fillId="0" borderId="53" xfId="0" applyFont="1" applyFill="1" applyBorder="1" applyAlignment="1">
      <alignment horizontal="center" vertical="center"/>
    </xf>
    <xf numFmtId="188" fontId="63" fillId="0" borderId="49" xfId="0" applyNumberFormat="1" applyFont="1" applyFill="1" applyBorder="1" applyAlignment="1">
      <alignment/>
    </xf>
    <xf numFmtId="188" fontId="63" fillId="0" borderId="50" xfId="0" applyNumberFormat="1" applyFont="1" applyFill="1" applyBorder="1" applyAlignment="1">
      <alignment/>
    </xf>
    <xf numFmtId="188" fontId="63" fillId="0" borderId="54" xfId="0" applyNumberFormat="1" applyFont="1" applyFill="1" applyBorder="1" applyAlignment="1">
      <alignment/>
    </xf>
    <xf numFmtId="188" fontId="63" fillId="0" borderId="51" xfId="0" applyNumberFormat="1" applyFont="1" applyFill="1" applyBorder="1" applyAlignment="1">
      <alignment/>
    </xf>
    <xf numFmtId="0" fontId="66" fillId="0" borderId="0" xfId="0" applyFont="1" applyFill="1" applyBorder="1" applyAlignment="1">
      <alignment horizontal="center" vertical="center"/>
    </xf>
    <xf numFmtId="188" fontId="66" fillId="0" borderId="0" xfId="0" applyNumberFormat="1" applyFont="1" applyFill="1" applyBorder="1" applyAlignment="1">
      <alignment/>
    </xf>
    <xf numFmtId="0" fontId="66" fillId="0" borderId="0" xfId="0" applyFont="1" applyAlignment="1">
      <alignment/>
    </xf>
    <xf numFmtId="0" fontId="66" fillId="0" borderId="55" xfId="0" applyFont="1" applyFill="1" applyBorder="1" applyAlignment="1">
      <alignment horizontal="center" vertical="center"/>
    </xf>
    <xf numFmtId="188" fontId="66" fillId="0" borderId="56" xfId="0" applyNumberFormat="1" applyFont="1" applyFill="1" applyBorder="1" applyAlignment="1">
      <alignment/>
    </xf>
    <xf numFmtId="188" fontId="66" fillId="0" borderId="57" xfId="0" applyNumberFormat="1" applyFont="1" applyFill="1" applyBorder="1" applyAlignment="1">
      <alignment/>
    </xf>
    <xf numFmtId="188" fontId="66" fillId="0" borderId="58" xfId="0" applyNumberFormat="1" applyFont="1" applyFill="1" applyBorder="1" applyAlignment="1">
      <alignment/>
    </xf>
    <xf numFmtId="188" fontId="66" fillId="0" borderId="59" xfId="0" applyNumberFormat="1" applyFont="1" applyFill="1" applyBorder="1" applyAlignment="1">
      <alignment/>
    </xf>
    <xf numFmtId="188" fontId="66" fillId="0" borderId="60" xfId="0" applyNumberFormat="1" applyFont="1" applyFill="1" applyBorder="1" applyAlignment="1">
      <alignment/>
    </xf>
    <xf numFmtId="0" fontId="12" fillId="0" borderId="0" xfId="0" applyFont="1" applyAlignment="1">
      <alignment wrapText="1"/>
    </xf>
    <xf numFmtId="0" fontId="63" fillId="0" borderId="18" xfId="0" applyFont="1" applyBorder="1" applyAlignment="1">
      <alignment wrapText="1"/>
    </xf>
    <xf numFmtId="0" fontId="63" fillId="0" borderId="14" xfId="0" applyFont="1" applyBorder="1" applyAlignment="1">
      <alignment vertical="top" wrapText="1"/>
    </xf>
    <xf numFmtId="0" fontId="63" fillId="0" borderId="18" xfId="0" applyFont="1" applyBorder="1" applyAlignment="1">
      <alignment horizontal="right" vertical="top" wrapText="1"/>
    </xf>
    <xf numFmtId="0" fontId="67" fillId="0" borderId="14" xfId="56" applyFont="1" applyBorder="1" applyAlignment="1" applyProtection="1">
      <alignment vertical="top" wrapText="1"/>
      <protection/>
    </xf>
    <xf numFmtId="0" fontId="63" fillId="0" borderId="14" xfId="0" applyFont="1" applyFill="1" applyBorder="1" applyAlignment="1">
      <alignment vertical="top" wrapText="1"/>
    </xf>
    <xf numFmtId="0" fontId="63" fillId="0" borderId="18" xfId="0" applyFont="1" applyFill="1" applyBorder="1" applyAlignment="1">
      <alignment horizontal="right" vertical="top" wrapText="1"/>
    </xf>
    <xf numFmtId="0" fontId="67" fillId="0" borderId="14" xfId="56" applyFont="1" applyFill="1" applyBorder="1" applyAlignment="1" applyProtection="1">
      <alignment wrapText="1"/>
      <protection/>
    </xf>
    <xf numFmtId="0" fontId="66" fillId="0" borderId="14" xfId="0" applyFont="1" applyBorder="1" applyAlignment="1">
      <alignment horizontal="center" wrapText="1"/>
    </xf>
    <xf numFmtId="0" fontId="66" fillId="0" borderId="18" xfId="0" applyFont="1" applyBorder="1" applyAlignment="1">
      <alignment horizontal="center" wrapText="1"/>
    </xf>
    <xf numFmtId="0" fontId="66" fillId="0" borderId="16" xfId="0" applyFont="1" applyFill="1" applyBorder="1" applyAlignment="1">
      <alignment horizontal="center" vertical="center"/>
    </xf>
    <xf numFmtId="187" fontId="12" fillId="0" borderId="11" xfId="0" applyNumberFormat="1" applyFont="1" applyFill="1" applyBorder="1" applyAlignment="1">
      <alignment/>
    </xf>
    <xf numFmtId="188" fontId="13" fillId="0" borderId="17" xfId="0" applyNumberFormat="1" applyFont="1" applyBorder="1" applyAlignment="1">
      <alignment/>
    </xf>
    <xf numFmtId="188" fontId="13" fillId="0" borderId="19" xfId="0" applyNumberFormat="1" applyFont="1" applyBorder="1" applyAlignment="1">
      <alignment/>
    </xf>
    <xf numFmtId="0" fontId="63" fillId="0" borderId="27" xfId="0" applyFont="1" applyFill="1" applyBorder="1" applyAlignment="1">
      <alignment vertical="center" wrapText="1"/>
    </xf>
    <xf numFmtId="0" fontId="12" fillId="0" borderId="18" xfId="56" applyFont="1" applyFill="1" applyBorder="1" applyAlignment="1" applyProtection="1">
      <alignment/>
      <protection/>
    </xf>
    <xf numFmtId="0" fontId="13" fillId="0" borderId="14" xfId="0" applyFont="1" applyFill="1" applyBorder="1" applyAlignment="1">
      <alignment wrapText="1"/>
    </xf>
    <xf numFmtId="0" fontId="66" fillId="0" borderId="14" xfId="0" applyFont="1" applyFill="1" applyBorder="1" applyAlignment="1">
      <alignment/>
    </xf>
    <xf numFmtId="187" fontId="13" fillId="0" borderId="11" xfId="0" applyNumberFormat="1" applyFont="1" applyFill="1" applyBorder="1" applyAlignment="1">
      <alignment/>
    </xf>
    <xf numFmtId="0" fontId="66" fillId="0" borderId="18" xfId="0" applyFont="1" applyFill="1" applyBorder="1" applyAlignment="1">
      <alignment/>
    </xf>
    <xf numFmtId="0" fontId="13" fillId="0" borderId="0" xfId="0" applyFont="1" applyBorder="1" applyAlignment="1">
      <alignment wrapText="1"/>
    </xf>
    <xf numFmtId="0" fontId="12" fillId="0" borderId="0" xfId="0" applyFont="1" applyBorder="1" applyAlignment="1">
      <alignment/>
    </xf>
    <xf numFmtId="0" fontId="13" fillId="0" borderId="11" xfId="0" applyFont="1" applyFill="1" applyBorder="1" applyAlignment="1">
      <alignment horizontal="center" vertical="center"/>
    </xf>
    <xf numFmtId="172" fontId="12" fillId="0" borderId="11" xfId="66" applyNumberFormat="1" applyFont="1" applyFill="1" applyBorder="1" applyAlignment="1">
      <alignment/>
    </xf>
    <xf numFmtId="172" fontId="12" fillId="0" borderId="11" xfId="66" applyNumberFormat="1" applyFont="1" applyBorder="1" applyAlignment="1">
      <alignment/>
    </xf>
    <xf numFmtId="172" fontId="13" fillId="0" borderId="18" xfId="66" applyNumberFormat="1" applyFont="1" applyBorder="1" applyAlignment="1">
      <alignment/>
    </xf>
    <xf numFmtId="172" fontId="13" fillId="0" borderId="19" xfId="66" applyNumberFormat="1" applyFont="1" applyBorder="1" applyAlignment="1">
      <alignment/>
    </xf>
    <xf numFmtId="1" fontId="13" fillId="0" borderId="0" xfId="0" applyNumberFormat="1" applyFont="1" applyBorder="1" applyAlignment="1">
      <alignment wrapText="1"/>
    </xf>
    <xf numFmtId="1" fontId="13" fillId="0" borderId="0" xfId="0" applyNumberFormat="1" applyFont="1" applyFill="1" applyBorder="1" applyAlignment="1">
      <alignment horizontal="left" vertical="center"/>
    </xf>
    <xf numFmtId="1" fontId="12" fillId="0" borderId="0" xfId="0" applyNumberFormat="1" applyFont="1" applyFill="1" applyBorder="1" applyAlignment="1">
      <alignment horizontal="right" vertical="center"/>
    </xf>
    <xf numFmtId="1" fontId="13" fillId="0" borderId="0" xfId="0" applyNumberFormat="1" applyFont="1" applyFill="1" applyBorder="1" applyAlignment="1">
      <alignment/>
    </xf>
    <xf numFmtId="1" fontId="12" fillId="0" borderId="0" xfId="0" applyNumberFormat="1" applyFont="1" applyBorder="1" applyAlignment="1">
      <alignment/>
    </xf>
    <xf numFmtId="188" fontId="12" fillId="0" borderId="11" xfId="66" applyNumberFormat="1" applyFont="1" applyFill="1" applyBorder="1" applyAlignment="1">
      <alignment/>
    </xf>
    <xf numFmtId="188" fontId="12" fillId="0" borderId="11" xfId="66" applyNumberFormat="1" applyFont="1" applyBorder="1" applyAlignment="1">
      <alignment/>
    </xf>
    <xf numFmtId="188" fontId="13" fillId="0" borderId="18" xfId="66" applyNumberFormat="1" applyFont="1" applyBorder="1" applyAlignment="1">
      <alignment/>
    </xf>
    <xf numFmtId="188" fontId="13" fillId="0" borderId="17" xfId="66" applyNumberFormat="1" applyFont="1" applyFill="1" applyBorder="1" applyAlignment="1">
      <alignment/>
    </xf>
    <xf numFmtId="188" fontId="13" fillId="0" borderId="17" xfId="66" applyNumberFormat="1" applyFont="1" applyBorder="1" applyAlignment="1">
      <alignment/>
    </xf>
    <xf numFmtId="188" fontId="13" fillId="0" borderId="19" xfId="66" applyNumberFormat="1" applyFont="1" applyBorder="1" applyAlignment="1">
      <alignment/>
    </xf>
    <xf numFmtId="0" fontId="13" fillId="0" borderId="0" xfId="0" applyFont="1" applyBorder="1" applyAlignment="1">
      <alignment/>
    </xf>
    <xf numFmtId="188" fontId="12" fillId="0" borderId="0" xfId="0" applyNumberFormat="1" applyFont="1" applyBorder="1" applyAlignment="1">
      <alignment/>
    </xf>
    <xf numFmtId="188" fontId="13" fillId="0" borderId="0" xfId="0" applyNumberFormat="1" applyFont="1" applyBorder="1" applyAlignment="1">
      <alignment/>
    </xf>
    <xf numFmtId="0" fontId="68" fillId="0" borderId="0" xfId="0" applyFont="1" applyFill="1" applyBorder="1" applyAlignment="1">
      <alignment vertical="center" wrapText="1"/>
    </xf>
    <xf numFmtId="0" fontId="68" fillId="41" borderId="11" xfId="0" applyFont="1" applyFill="1" applyBorder="1" applyAlignment="1">
      <alignment vertical="center" wrapText="1"/>
    </xf>
    <xf numFmtId="0" fontId="68" fillId="38" borderId="11" xfId="0" applyFont="1" applyFill="1" applyBorder="1" applyAlignment="1">
      <alignment vertical="center" wrapText="1"/>
    </xf>
    <xf numFmtId="0" fontId="68" fillId="38" borderId="11" xfId="0" applyFont="1" applyFill="1" applyBorder="1" applyAlignment="1">
      <alignment horizontal="center" vertical="center" wrapText="1"/>
    </xf>
    <xf numFmtId="0" fontId="69" fillId="0" borderId="11" xfId="0" applyFont="1" applyBorder="1" applyAlignment="1">
      <alignment vertical="center" wrapText="1"/>
    </xf>
    <xf numFmtId="6" fontId="69" fillId="0" borderId="11" xfId="0" applyNumberFormat="1" applyFont="1" applyBorder="1" applyAlignment="1">
      <alignment horizontal="right" vertical="center" wrapText="1"/>
    </xf>
    <xf numFmtId="0" fontId="68" fillId="0" borderId="11" xfId="0" applyFont="1" applyBorder="1" applyAlignment="1">
      <alignment horizontal="right" vertical="center" wrapText="1"/>
    </xf>
    <xf numFmtId="6" fontId="68" fillId="0" borderId="11" xfId="0" applyNumberFormat="1" applyFont="1" applyBorder="1" applyAlignment="1">
      <alignment horizontal="right" vertical="center" wrapText="1"/>
    </xf>
    <xf numFmtId="6" fontId="12" fillId="0" borderId="0" xfId="0" applyNumberFormat="1" applyFont="1" applyBorder="1" applyAlignment="1">
      <alignment/>
    </xf>
    <xf numFmtId="0" fontId="13" fillId="38" borderId="11" xfId="0" applyFont="1" applyFill="1" applyBorder="1" applyAlignment="1">
      <alignment horizontal="center" vertical="center" wrapText="1"/>
    </xf>
    <xf numFmtId="172" fontId="12" fillId="0" borderId="0" xfId="0" applyNumberFormat="1" applyFont="1" applyBorder="1" applyAlignment="1">
      <alignment/>
    </xf>
    <xf numFmtId="6" fontId="69" fillId="0" borderId="11" xfId="0" applyNumberFormat="1" applyFont="1" applyFill="1" applyBorder="1" applyAlignment="1">
      <alignment horizontal="right" vertical="center" wrapText="1"/>
    </xf>
    <xf numFmtId="6" fontId="68" fillId="0" borderId="11" xfId="0" applyNumberFormat="1" applyFont="1" applyFill="1" applyBorder="1" applyAlignment="1">
      <alignment horizontal="right" vertical="center" wrapText="1"/>
    </xf>
    <xf numFmtId="0" fontId="68" fillId="0" borderId="0" xfId="0" applyFont="1" applyFill="1" applyBorder="1" applyAlignment="1">
      <alignment horizontal="center" vertical="center" wrapText="1"/>
    </xf>
    <xf numFmtId="0" fontId="69" fillId="0" borderId="0" xfId="0" applyFont="1" applyFill="1" applyBorder="1" applyAlignment="1">
      <alignment vertical="center" wrapText="1"/>
    </xf>
    <xf numFmtId="6" fontId="69" fillId="0" borderId="0" xfId="0" applyNumberFormat="1" applyFont="1" applyFill="1" applyBorder="1" applyAlignment="1">
      <alignment horizontal="right" vertical="center" wrapText="1"/>
    </xf>
    <xf numFmtId="10" fontId="69" fillId="0" borderId="0" xfId="0" applyNumberFormat="1" applyFont="1" applyFill="1" applyBorder="1" applyAlignment="1">
      <alignment horizontal="right" vertical="center" wrapText="1"/>
    </xf>
    <xf numFmtId="0" fontId="68" fillId="0" borderId="0" xfId="0" applyFont="1" applyFill="1" applyBorder="1" applyAlignment="1">
      <alignment horizontal="right" vertical="center" wrapText="1"/>
    </xf>
    <xf numFmtId="6" fontId="68" fillId="0" borderId="0" xfId="0" applyNumberFormat="1" applyFont="1" applyFill="1" applyBorder="1" applyAlignment="1">
      <alignment horizontal="right" vertical="center" wrapText="1"/>
    </xf>
    <xf numFmtId="10" fontId="68" fillId="0" borderId="0" xfId="0" applyNumberFormat="1" applyFont="1" applyFill="1" applyBorder="1" applyAlignment="1">
      <alignment horizontal="right" vertical="center" wrapText="1"/>
    </xf>
    <xf numFmtId="0" fontId="4" fillId="0" borderId="18" xfId="0" applyFont="1" applyBorder="1" applyAlignment="1">
      <alignment/>
    </xf>
    <xf numFmtId="0" fontId="5" fillId="0" borderId="19" xfId="0" applyFont="1" applyBorder="1" applyAlignment="1">
      <alignment/>
    </xf>
    <xf numFmtId="0" fontId="63" fillId="0" borderId="61" xfId="0" applyFont="1" applyFill="1" applyBorder="1" applyAlignment="1">
      <alignment vertical="center" wrapText="1"/>
    </xf>
    <xf numFmtId="0" fontId="63" fillId="0" borderId="0" xfId="0" applyFont="1" applyFill="1" applyBorder="1" applyAlignment="1">
      <alignment vertical="center" wrapText="1"/>
    </xf>
    <xf numFmtId="0" fontId="64" fillId="0" borderId="36" xfId="0" applyFont="1" applyBorder="1" applyAlignment="1">
      <alignment horizontal="center" vertical="center" wrapText="1"/>
    </xf>
    <xf numFmtId="0" fontId="64" fillId="0" borderId="62" xfId="0" applyFont="1" applyBorder="1" applyAlignment="1">
      <alignment horizontal="center" vertical="center" wrapText="1"/>
    </xf>
    <xf numFmtId="0" fontId="63" fillId="0" borderId="63" xfId="0" applyFont="1" applyFill="1" applyBorder="1" applyAlignment="1">
      <alignment vertical="center" wrapText="1"/>
    </xf>
    <xf numFmtId="0" fontId="63" fillId="0" borderId="64" xfId="0" applyFont="1" applyFill="1" applyBorder="1" applyAlignment="1">
      <alignment vertical="center" wrapText="1"/>
    </xf>
    <xf numFmtId="0" fontId="63" fillId="0" borderId="36" xfId="0" applyFont="1" applyFill="1" applyBorder="1" applyAlignment="1">
      <alignment vertical="center" wrapText="1"/>
    </xf>
    <xf numFmtId="0" fontId="63" fillId="0" borderId="62" xfId="0" applyFont="1" applyFill="1" applyBorder="1" applyAlignment="1">
      <alignment vertical="center" wrapText="1"/>
    </xf>
    <xf numFmtId="0" fontId="63" fillId="0" borderId="28" xfId="0" applyFont="1" applyFill="1" applyBorder="1" applyAlignment="1">
      <alignment vertical="center" wrapText="1"/>
    </xf>
    <xf numFmtId="0" fontId="63" fillId="0" borderId="29" xfId="0" applyFont="1" applyFill="1" applyBorder="1" applyAlignment="1">
      <alignment vertical="center" wrapText="1"/>
    </xf>
    <xf numFmtId="3" fontId="12" fillId="0" borderId="11" xfId="66" applyNumberFormat="1" applyFont="1" applyFill="1" applyBorder="1" applyAlignment="1">
      <alignment/>
    </xf>
    <xf numFmtId="0" fontId="12" fillId="0" borderId="18" xfId="0" applyFont="1" applyFill="1" applyBorder="1" applyAlignment="1">
      <alignment/>
    </xf>
    <xf numFmtId="0" fontId="12" fillId="0" borderId="14" xfId="0" applyFont="1" applyFill="1" applyBorder="1" applyAlignment="1">
      <alignment/>
    </xf>
    <xf numFmtId="0" fontId="63" fillId="0" borderId="16" xfId="0" applyFont="1" applyFill="1" applyBorder="1" applyAlignment="1">
      <alignment/>
    </xf>
    <xf numFmtId="0" fontId="63" fillId="0" borderId="17" xfId="0" applyFont="1" applyFill="1" applyBorder="1" applyAlignment="1">
      <alignment/>
    </xf>
    <xf numFmtId="0" fontId="63" fillId="0" borderId="19" xfId="0" applyFont="1" applyFill="1" applyBorder="1" applyAlignment="1">
      <alignment/>
    </xf>
    <xf numFmtId="2" fontId="12" fillId="0" borderId="11" xfId="0" applyNumberFormat="1" applyFont="1" applyFill="1" applyBorder="1" applyAlignment="1">
      <alignment/>
    </xf>
    <xf numFmtId="2" fontId="12" fillId="0" borderId="11" xfId="0" applyNumberFormat="1" applyFont="1" applyFill="1" applyBorder="1" applyAlignment="1">
      <alignment horizontal="right" vertical="center"/>
    </xf>
    <xf numFmtId="3" fontId="12" fillId="0" borderId="11" xfId="48" applyNumberFormat="1" applyFont="1" applyBorder="1" applyAlignment="1">
      <alignment horizontal="right" vertical="center"/>
    </xf>
    <xf numFmtId="0" fontId="66" fillId="0" borderId="13" xfId="0" applyFont="1" applyBorder="1" applyAlignment="1">
      <alignment horizontal="center" vertical="center" wrapText="1"/>
    </xf>
    <xf numFmtId="0" fontId="13" fillId="0" borderId="41" xfId="0" applyFont="1" applyBorder="1" applyAlignment="1">
      <alignment horizontal="center" vertical="center" wrapText="1"/>
    </xf>
    <xf numFmtId="3" fontId="12" fillId="0" borderId="46" xfId="42" applyNumberFormat="1" applyFont="1" applyFill="1" applyBorder="1" applyAlignment="1">
      <alignment horizontal="right" vertical="center"/>
    </xf>
    <xf numFmtId="3" fontId="12" fillId="0" borderId="46" xfId="0" applyNumberFormat="1" applyFont="1" applyBorder="1" applyAlignment="1">
      <alignment horizontal="right" vertical="center"/>
    </xf>
    <xf numFmtId="3" fontId="13" fillId="0" borderId="47" xfId="0" applyNumberFormat="1" applyFont="1" applyBorder="1" applyAlignment="1">
      <alignment horizontal="right" vertical="center"/>
    </xf>
    <xf numFmtId="0" fontId="12" fillId="0" borderId="18" xfId="0" applyFont="1" applyFill="1" applyBorder="1" applyAlignment="1">
      <alignment horizontal="center" vertical="center" wrapText="1"/>
    </xf>
    <xf numFmtId="0" fontId="12" fillId="0" borderId="18" xfId="0" applyFont="1" applyFill="1" applyBorder="1" applyAlignment="1">
      <alignment horizontal="center" vertical="center"/>
    </xf>
    <xf numFmtId="0" fontId="66" fillId="0" borderId="65" xfId="0" applyFont="1" applyBorder="1" applyAlignment="1">
      <alignment horizontal="center" vertical="center" wrapText="1"/>
    </xf>
    <xf numFmtId="0" fontId="66" fillId="0" borderId="42" xfId="0" applyFont="1" applyBorder="1" applyAlignment="1">
      <alignment horizontal="center" vertical="center" wrapText="1"/>
    </xf>
    <xf numFmtId="0" fontId="13" fillId="0" borderId="66" xfId="0" applyFont="1" applyBorder="1" applyAlignment="1">
      <alignment horizontal="center" vertical="center" wrapText="1"/>
    </xf>
    <xf numFmtId="188" fontId="12" fillId="0" borderId="11" xfId="0" applyNumberFormat="1" applyFont="1" applyFill="1" applyBorder="1" applyAlignment="1" quotePrefix="1">
      <alignment/>
    </xf>
    <xf numFmtId="0" fontId="12" fillId="0" borderId="0" xfId="0" applyFont="1" applyBorder="1" applyAlignment="1">
      <alignment/>
    </xf>
    <xf numFmtId="0" fontId="12" fillId="0" borderId="0" xfId="0" applyFont="1" applyFill="1" applyBorder="1" applyAlignment="1">
      <alignment/>
    </xf>
    <xf numFmtId="0" fontId="69" fillId="0" borderId="0" xfId="0" applyFont="1" applyFill="1" applyBorder="1" applyAlignment="1">
      <alignment vertical="center"/>
    </xf>
    <xf numFmtId="187" fontId="69" fillId="0" borderId="0" xfId="0" applyNumberFormat="1" applyFont="1" applyFill="1" applyBorder="1" applyAlignment="1">
      <alignment horizontal="right" vertical="center"/>
    </xf>
    <xf numFmtId="187" fontId="69" fillId="0" borderId="0" xfId="0" applyNumberFormat="1" applyFont="1" applyFill="1" applyBorder="1" applyAlignment="1">
      <alignment horizontal="center" vertical="center"/>
    </xf>
    <xf numFmtId="6" fontId="69" fillId="0" borderId="0" xfId="0" applyNumberFormat="1" applyFont="1" applyFill="1" applyBorder="1" applyAlignment="1">
      <alignment horizontal="right" vertical="center"/>
    </xf>
    <xf numFmtId="10" fontId="69" fillId="0" borderId="0" xfId="0" applyNumberFormat="1" applyFont="1" applyFill="1" applyBorder="1" applyAlignment="1">
      <alignment horizontal="right" vertical="center"/>
    </xf>
    <xf numFmtId="188" fontId="12" fillId="0" borderId="0" xfId="0" applyNumberFormat="1" applyFont="1" applyFill="1" applyBorder="1" applyAlignment="1" quotePrefix="1">
      <alignment/>
    </xf>
    <xf numFmtId="0" fontId="68" fillId="0" borderId="14" xfId="0" applyFont="1" applyFill="1" applyBorder="1" applyAlignment="1">
      <alignment horizontal="center" vertical="center"/>
    </xf>
    <xf numFmtId="0" fontId="68" fillId="0" borderId="11" xfId="0" applyFont="1" applyFill="1" applyBorder="1" applyAlignment="1">
      <alignment horizontal="center" vertical="center"/>
    </xf>
    <xf numFmtId="0" fontId="68" fillId="0" borderId="18" xfId="0" applyFont="1" applyFill="1" applyBorder="1" applyAlignment="1">
      <alignment horizontal="center" vertical="center"/>
    </xf>
    <xf numFmtId="6" fontId="12" fillId="0" borderId="0" xfId="0" applyNumberFormat="1" applyFont="1" applyFill="1" applyBorder="1" applyAlignment="1">
      <alignment/>
    </xf>
    <xf numFmtId="172" fontId="12" fillId="0" borderId="0" xfId="66" applyNumberFormat="1" applyFont="1" applyFill="1" applyBorder="1" applyAlignment="1">
      <alignment/>
    </xf>
    <xf numFmtId="6" fontId="13" fillId="0" borderId="0" xfId="0" applyNumberFormat="1" applyFont="1" applyFill="1" applyBorder="1" applyAlignment="1">
      <alignment/>
    </xf>
    <xf numFmtId="172" fontId="13" fillId="0" borderId="0" xfId="66" applyNumberFormat="1" applyFont="1" applyFill="1" applyBorder="1" applyAlignment="1">
      <alignment/>
    </xf>
    <xf numFmtId="0" fontId="13" fillId="0" borderId="0" xfId="0" applyFont="1" applyFill="1" applyBorder="1" applyAlignment="1">
      <alignment vertical="center" wrapText="1"/>
    </xf>
    <xf numFmtId="0" fontId="12" fillId="0" borderId="14" xfId="0" applyFont="1" applyBorder="1" applyAlignment="1">
      <alignment vertical="center" wrapText="1"/>
    </xf>
    <xf numFmtId="0" fontId="13" fillId="0" borderId="16" xfId="0" applyFont="1" applyBorder="1" applyAlignment="1">
      <alignment horizontal="right" vertical="center" wrapText="1"/>
    </xf>
    <xf numFmtId="172" fontId="69" fillId="0" borderId="11" xfId="0" applyNumberFormat="1" applyFont="1" applyFill="1" applyBorder="1" applyAlignment="1">
      <alignment horizontal="right" vertical="center" wrapText="1"/>
    </xf>
    <xf numFmtId="172" fontId="68" fillId="0" borderId="11" xfId="0" applyNumberFormat="1" applyFont="1" applyFill="1" applyBorder="1" applyAlignment="1">
      <alignment horizontal="right" vertical="center" wrapText="1"/>
    </xf>
    <xf numFmtId="6" fontId="12" fillId="0" borderId="11" xfId="0" applyNumberFormat="1" applyFont="1" applyFill="1" applyBorder="1" applyAlignment="1">
      <alignment horizontal="right" vertical="center" wrapText="1"/>
    </xf>
    <xf numFmtId="172" fontId="12" fillId="0" borderId="18" xfId="0" applyNumberFormat="1" applyFont="1" applyFill="1" applyBorder="1" applyAlignment="1">
      <alignment horizontal="right" vertical="center" wrapText="1"/>
    </xf>
    <xf numFmtId="6" fontId="13" fillId="0" borderId="17" xfId="0" applyNumberFormat="1" applyFont="1" applyFill="1" applyBorder="1" applyAlignment="1">
      <alignment horizontal="right" vertical="center" wrapText="1"/>
    </xf>
    <xf numFmtId="172" fontId="13" fillId="0" borderId="19" xfId="0" applyNumberFormat="1" applyFont="1" applyFill="1" applyBorder="1" applyAlignment="1">
      <alignment horizontal="right" vertical="center" wrapText="1"/>
    </xf>
    <xf numFmtId="0" fontId="66" fillId="0" borderId="44" xfId="0" applyFont="1" applyFill="1" applyBorder="1" applyAlignment="1">
      <alignment horizontal="center" vertical="center" wrapText="1"/>
    </xf>
    <xf numFmtId="0" fontId="66" fillId="0" borderId="24" xfId="0" applyFont="1" applyFill="1" applyBorder="1" applyAlignment="1">
      <alignment horizontal="center" vertical="center" wrapText="1"/>
    </xf>
    <xf numFmtId="165" fontId="12" fillId="0" borderId="11" xfId="42" applyNumberFormat="1" applyFont="1" applyFill="1" applyBorder="1" applyAlignment="1">
      <alignment horizontal="center"/>
    </xf>
    <xf numFmtId="188" fontId="12" fillId="0" borderId="11" xfId="42" applyNumberFormat="1" applyFont="1" applyFill="1" applyBorder="1" applyAlignment="1">
      <alignment horizontal="right"/>
    </xf>
    <xf numFmtId="188" fontId="12" fillId="0" borderId="18" xfId="42" applyNumberFormat="1" applyFont="1" applyFill="1" applyBorder="1" applyAlignment="1">
      <alignment horizontal="right"/>
    </xf>
    <xf numFmtId="165" fontId="12" fillId="0" borderId="11" xfId="42" applyNumberFormat="1" applyFont="1" applyFill="1" applyBorder="1" applyAlignment="1">
      <alignment/>
    </xf>
    <xf numFmtId="188" fontId="12" fillId="0" borderId="11" xfId="0" applyNumberFormat="1" applyFont="1" applyBorder="1" applyAlignment="1">
      <alignment horizontal="right"/>
    </xf>
    <xf numFmtId="188" fontId="12" fillId="0" borderId="18" xfId="0" applyNumberFormat="1" applyFont="1" applyBorder="1" applyAlignment="1">
      <alignment horizontal="right"/>
    </xf>
    <xf numFmtId="165" fontId="13" fillId="0" borderId="17" xfId="0" applyNumberFormat="1" applyFont="1" applyFill="1" applyBorder="1" applyAlignment="1">
      <alignment/>
    </xf>
    <xf numFmtId="187" fontId="13" fillId="0" borderId="17" xfId="0" applyNumberFormat="1" applyFont="1" applyFill="1" applyBorder="1" applyAlignment="1">
      <alignment/>
    </xf>
    <xf numFmtId="0" fontId="12" fillId="0" borderId="53" xfId="0" applyFont="1" applyFill="1" applyBorder="1" applyAlignment="1">
      <alignment horizontal="center" vertical="center"/>
    </xf>
    <xf numFmtId="0" fontId="13" fillId="0" borderId="67" xfId="0" applyFont="1" applyFill="1" applyBorder="1" applyAlignment="1">
      <alignment horizontal="center" vertical="center" wrapText="1"/>
    </xf>
    <xf numFmtId="0" fontId="12" fillId="0" borderId="53" xfId="0" applyFont="1" applyBorder="1" applyAlignment="1">
      <alignment horizontal="center" vertical="center"/>
    </xf>
    <xf numFmtId="0" fontId="12" fillId="0" borderId="54" xfId="0" applyFont="1" applyBorder="1" applyAlignment="1">
      <alignment horizontal="center" vertical="center"/>
    </xf>
    <xf numFmtId="0" fontId="12" fillId="0" borderId="49" xfId="0" applyFont="1" applyFill="1" applyBorder="1" applyAlignment="1">
      <alignment horizontal="center" vertical="center"/>
    </xf>
    <xf numFmtId="0" fontId="12" fillId="0" borderId="50" xfId="0" applyFont="1" applyFill="1" applyBorder="1" applyAlignment="1">
      <alignment horizontal="center" vertical="center"/>
    </xf>
    <xf numFmtId="0" fontId="12" fillId="0" borderId="68" xfId="0" applyFont="1" applyFill="1" applyBorder="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12" fillId="0" borderId="54" xfId="0" applyFont="1" applyFill="1" applyBorder="1" applyAlignment="1">
      <alignment horizontal="center" vertical="center"/>
    </xf>
    <xf numFmtId="188" fontId="12" fillId="0" borderId="50" xfId="0" applyNumberFormat="1" applyFont="1" applyBorder="1" applyAlignment="1">
      <alignment/>
    </xf>
    <xf numFmtId="188" fontId="12" fillId="0" borderId="51" xfId="0" applyNumberFormat="1" applyFont="1" applyBorder="1" applyAlignment="1">
      <alignment/>
    </xf>
    <xf numFmtId="0" fontId="19" fillId="0" borderId="56" xfId="0" applyFont="1" applyBorder="1" applyAlignment="1">
      <alignment horizontal="center" vertical="center"/>
    </xf>
    <xf numFmtId="0" fontId="19" fillId="0" borderId="57" xfId="0" applyFont="1" applyBorder="1" applyAlignment="1">
      <alignment horizontal="center" vertical="center"/>
    </xf>
    <xf numFmtId="188" fontId="19" fillId="0" borderId="57" xfId="0" applyNumberFormat="1" applyFont="1" applyBorder="1" applyAlignment="1">
      <alignment/>
    </xf>
    <xf numFmtId="188" fontId="19" fillId="0" borderId="58" xfId="0" applyNumberFormat="1" applyFont="1" applyBorder="1" applyAlignment="1">
      <alignment/>
    </xf>
    <xf numFmtId="187" fontId="12" fillId="0" borderId="11" xfId="0" applyNumberFormat="1" applyFont="1" applyBorder="1" applyAlignment="1">
      <alignment/>
    </xf>
    <xf numFmtId="0" fontId="66" fillId="0" borderId="44" xfId="0" applyFont="1" applyFill="1" applyBorder="1" applyAlignment="1">
      <alignment horizontal="center" vertical="center" wrapText="1"/>
    </xf>
    <xf numFmtId="0" fontId="66" fillId="0" borderId="12"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24" xfId="0" applyFont="1" applyFill="1" applyBorder="1" applyAlignment="1">
      <alignment horizontal="center" vertical="center" wrapText="1"/>
    </xf>
    <xf numFmtId="0" fontId="13" fillId="38" borderId="11" xfId="0" applyFont="1" applyFill="1" applyBorder="1" applyAlignment="1">
      <alignment horizontal="center" vertical="center" wrapText="1"/>
    </xf>
    <xf numFmtId="0" fontId="68" fillId="38" borderId="11" xfId="0" applyFont="1" applyFill="1" applyBorder="1" applyAlignment="1">
      <alignment horizontal="center" vertical="center" wrapText="1"/>
    </xf>
    <xf numFmtId="3" fontId="12" fillId="0" borderId="26" xfId="0" applyNumberFormat="1" applyFont="1" applyBorder="1" applyAlignment="1">
      <alignment/>
    </xf>
    <xf numFmtId="3" fontId="13" fillId="0" borderId="48" xfId="0" applyNumberFormat="1" applyFont="1" applyBorder="1" applyAlignment="1">
      <alignment/>
    </xf>
    <xf numFmtId="3" fontId="12" fillId="0" borderId="52" xfId="0" applyNumberFormat="1" applyFont="1" applyFill="1" applyBorder="1" applyAlignment="1">
      <alignment/>
    </xf>
    <xf numFmtId="3" fontId="13" fillId="0" borderId="69" xfId="0" applyNumberFormat="1" applyFont="1" applyFill="1" applyBorder="1" applyAlignment="1">
      <alignment/>
    </xf>
    <xf numFmtId="188" fontId="13" fillId="0" borderId="11" xfId="0" applyNumberFormat="1" applyFont="1" applyFill="1" applyBorder="1" applyAlignment="1">
      <alignment/>
    </xf>
    <xf numFmtId="9" fontId="12" fillId="0" borderId="11" xfId="66" applyFont="1" applyFill="1" applyBorder="1" applyAlignment="1">
      <alignment/>
    </xf>
    <xf numFmtId="3" fontId="12" fillId="0" borderId="70" xfId="0" applyNumberFormat="1" applyFont="1" applyFill="1" applyBorder="1" applyAlignment="1">
      <alignment/>
    </xf>
    <xf numFmtId="3" fontId="13" fillId="0" borderId="71" xfId="0" applyNumberFormat="1" applyFont="1" applyFill="1" applyBorder="1" applyAlignment="1">
      <alignment/>
    </xf>
    <xf numFmtId="3" fontId="12" fillId="0" borderId="14" xfId="48" applyNumberFormat="1" applyFont="1" applyFill="1" applyBorder="1" applyAlignment="1">
      <alignment horizontal="right" vertical="center"/>
    </xf>
    <xf numFmtId="3" fontId="13" fillId="0" borderId="16" xfId="0" applyNumberFormat="1" applyFont="1" applyFill="1" applyBorder="1" applyAlignment="1">
      <alignment horizontal="right" vertical="center"/>
    </xf>
    <xf numFmtId="3" fontId="12" fillId="0" borderId="11" xfId="48" applyNumberFormat="1" applyFont="1" applyFill="1" applyBorder="1" applyAlignment="1">
      <alignment horizontal="right" vertical="center"/>
    </xf>
    <xf numFmtId="3" fontId="13" fillId="0" borderId="17" xfId="0" applyNumberFormat="1" applyFont="1" applyFill="1" applyBorder="1" applyAlignment="1">
      <alignment horizontal="right" vertical="center"/>
    </xf>
    <xf numFmtId="187" fontId="12" fillId="0" borderId="11" xfId="66" applyNumberFormat="1" applyFont="1" applyFill="1" applyBorder="1" applyAlignment="1">
      <alignment/>
    </xf>
    <xf numFmtId="0" fontId="12" fillId="0" borderId="11" xfId="56" applyFont="1" applyFill="1" applyBorder="1" applyAlignment="1" applyProtection="1">
      <alignment/>
      <protection/>
    </xf>
    <xf numFmtId="0" fontId="12" fillId="0" borderId="11" xfId="0" applyFont="1" applyBorder="1" applyAlignment="1">
      <alignment/>
    </xf>
    <xf numFmtId="0" fontId="63" fillId="0" borderId="11" xfId="0" applyFont="1" applyFill="1" applyBorder="1" applyAlignment="1">
      <alignment/>
    </xf>
    <xf numFmtId="187" fontId="66" fillId="0" borderId="0" xfId="0" applyNumberFormat="1" applyFont="1" applyFill="1" applyBorder="1" applyAlignment="1">
      <alignment/>
    </xf>
    <xf numFmtId="3" fontId="12" fillId="0" borderId="11" xfId="61" applyNumberFormat="1" applyFont="1" applyBorder="1">
      <alignment/>
      <protection/>
    </xf>
    <xf numFmtId="188" fontId="13" fillId="0" borderId="13" xfId="0" applyNumberFormat="1" applyFont="1" applyBorder="1" applyAlignment="1">
      <alignment horizontal="center" vertical="center" wrapText="1"/>
    </xf>
    <xf numFmtId="188" fontId="0" fillId="0" borderId="0" xfId="0" applyNumberFormat="1" applyAlignment="1">
      <alignment/>
    </xf>
    <xf numFmtId="188" fontId="0" fillId="0" borderId="11" xfId="0" applyNumberFormat="1" applyBorder="1" applyAlignment="1">
      <alignment/>
    </xf>
    <xf numFmtId="188" fontId="13" fillId="0" borderId="13" xfId="0" applyNumberFormat="1" applyFont="1" applyFill="1" applyBorder="1" applyAlignment="1">
      <alignment horizontal="center" vertical="center" wrapText="1"/>
    </xf>
    <xf numFmtId="187" fontId="0" fillId="0" borderId="11" xfId="0" applyNumberFormat="1" applyBorder="1" applyAlignment="1">
      <alignment/>
    </xf>
    <xf numFmtId="0" fontId="66" fillId="0" borderId="13" xfId="0" applyFont="1" applyFill="1" applyBorder="1" applyAlignment="1">
      <alignment horizontal="center" vertical="center" wrapText="1"/>
    </xf>
    <xf numFmtId="0" fontId="66" fillId="0" borderId="12" xfId="0" applyFont="1" applyFill="1" applyBorder="1" applyAlignment="1">
      <alignment horizontal="center" vertical="center" wrapText="1"/>
    </xf>
    <xf numFmtId="188" fontId="12" fillId="0" borderId="11" xfId="0" applyNumberFormat="1" applyFont="1" applyFill="1" applyBorder="1" applyAlignment="1">
      <alignment horizontal="right"/>
    </xf>
    <xf numFmtId="188" fontId="68" fillId="0" borderId="17" xfId="0" applyNumberFormat="1" applyFont="1" applyFill="1" applyBorder="1" applyAlignment="1">
      <alignment horizontal="right" vertical="center"/>
    </xf>
    <xf numFmtId="188" fontId="13" fillId="0" borderId="17" xfId="0" applyNumberFormat="1" applyFont="1" applyFill="1" applyBorder="1" applyAlignment="1">
      <alignment horizontal="right"/>
    </xf>
    <xf numFmtId="188" fontId="68" fillId="0" borderId="19" xfId="0" applyNumberFormat="1" applyFont="1" applyFill="1" applyBorder="1" applyAlignment="1">
      <alignment horizontal="right" vertical="center"/>
    </xf>
    <xf numFmtId="0" fontId="68" fillId="0" borderId="16" xfId="0" applyFont="1" applyFill="1" applyBorder="1" applyAlignment="1">
      <alignment horizontal="right" vertical="center"/>
    </xf>
    <xf numFmtId="187" fontId="12" fillId="0" borderId="11" xfId="42" applyNumberFormat="1" applyFont="1" applyBorder="1" applyAlignment="1">
      <alignment/>
    </xf>
    <xf numFmtId="187" fontId="13" fillId="0" borderId="13" xfId="0" applyNumberFormat="1" applyFont="1" applyBorder="1" applyAlignment="1">
      <alignment horizontal="center" vertical="center" wrapText="1"/>
    </xf>
    <xf numFmtId="187" fontId="13" fillId="0" borderId="17" xfId="42" applyNumberFormat="1" applyFont="1" applyBorder="1" applyAlignment="1">
      <alignment/>
    </xf>
    <xf numFmtId="187" fontId="12" fillId="0" borderId="0" xfId="42" applyNumberFormat="1" applyFont="1" applyAlignment="1">
      <alignment/>
    </xf>
    <xf numFmtId="188" fontId="69" fillId="0" borderId="11" xfId="0" applyNumberFormat="1" applyFont="1" applyFill="1" applyBorder="1" applyAlignment="1">
      <alignment horizontal="right" vertical="center" wrapText="1"/>
    </xf>
    <xf numFmtId="2" fontId="12" fillId="0" borderId="11" xfId="66" applyNumberFormat="1" applyFont="1" applyFill="1" applyBorder="1" applyAlignment="1">
      <alignment/>
    </xf>
    <xf numFmtId="218" fontId="12" fillId="0" borderId="11" xfId="0" applyNumberFormat="1" applyFont="1" applyFill="1" applyBorder="1" applyAlignment="1">
      <alignment/>
    </xf>
    <xf numFmtId="218" fontId="12" fillId="0" borderId="46" xfId="0" applyNumberFormat="1" applyFont="1" applyFill="1" applyBorder="1" applyAlignment="1">
      <alignment/>
    </xf>
    <xf numFmtId="195" fontId="12" fillId="0" borderId="14" xfId="0" applyNumberFormat="1" applyFont="1" applyFill="1" applyBorder="1" applyAlignment="1">
      <alignment/>
    </xf>
    <xf numFmtId="195" fontId="12" fillId="0" borderId="11" xfId="0" applyNumberFormat="1" applyFont="1" applyFill="1" applyBorder="1" applyAlignment="1">
      <alignment/>
    </xf>
    <xf numFmtId="195" fontId="12" fillId="0" borderId="18" xfId="0" applyNumberFormat="1" applyFont="1" applyFill="1" applyBorder="1" applyAlignment="1">
      <alignment/>
    </xf>
    <xf numFmtId="197" fontId="12" fillId="0" borderId="14" xfId="0" applyNumberFormat="1" applyFont="1" applyFill="1" applyBorder="1" applyAlignment="1">
      <alignment/>
    </xf>
    <xf numFmtId="197" fontId="12" fillId="0" borderId="11" xfId="0" applyNumberFormat="1" applyFont="1" applyFill="1" applyBorder="1" applyAlignment="1">
      <alignment/>
    </xf>
    <xf numFmtId="197" fontId="12" fillId="0" borderId="18" xfId="0" applyNumberFormat="1" applyFont="1" applyFill="1" applyBorder="1" applyAlignment="1">
      <alignment/>
    </xf>
    <xf numFmtId="0" fontId="12" fillId="0" borderId="0" xfId="61" applyFont="1" applyFill="1">
      <alignment/>
      <protection/>
    </xf>
    <xf numFmtId="0" fontId="12" fillId="0" borderId="12" xfId="0" applyFont="1" applyBorder="1" applyAlignment="1">
      <alignment/>
    </xf>
    <xf numFmtId="188" fontId="12" fillId="0" borderId="15" xfId="0" applyNumberFormat="1" applyFont="1" applyBorder="1" applyAlignment="1">
      <alignment/>
    </xf>
    <xf numFmtId="0" fontId="12" fillId="0" borderId="14" xfId="0" applyFont="1" applyBorder="1" applyAlignment="1">
      <alignment/>
    </xf>
    <xf numFmtId="0" fontId="12" fillId="0" borderId="16" xfId="0" applyFont="1" applyBorder="1" applyAlignment="1">
      <alignment/>
    </xf>
    <xf numFmtId="188" fontId="12" fillId="0" borderId="19" xfId="0" applyNumberFormat="1" applyFont="1" applyBorder="1" applyAlignment="1">
      <alignment/>
    </xf>
    <xf numFmtId="172" fontId="12" fillId="0" borderId="18" xfId="66" applyNumberFormat="1" applyFont="1" applyBorder="1" applyAlignment="1">
      <alignment/>
    </xf>
    <xf numFmtId="10" fontId="12" fillId="0" borderId="18" xfId="66" applyNumberFormat="1" applyFont="1" applyBorder="1" applyAlignment="1">
      <alignment/>
    </xf>
    <xf numFmtId="44" fontId="12" fillId="0" borderId="0" xfId="46" applyFont="1" applyBorder="1" applyAlignment="1">
      <alignment/>
    </xf>
    <xf numFmtId="0" fontId="71" fillId="0" borderId="72" xfId="0" applyFont="1" applyBorder="1" applyAlignment="1">
      <alignment horizontal="center" vertical="center" wrapText="1"/>
    </xf>
    <xf numFmtId="0" fontId="71" fillId="0" borderId="73" xfId="0" applyFont="1" applyBorder="1" applyAlignment="1">
      <alignment horizontal="center" vertical="center" wrapText="1"/>
    </xf>
    <xf numFmtId="0" fontId="71" fillId="0" borderId="43" xfId="0" applyFont="1" applyBorder="1" applyAlignment="1">
      <alignment horizontal="center" vertical="center" wrapText="1"/>
    </xf>
    <xf numFmtId="0" fontId="68" fillId="40" borderId="63" xfId="0" applyFont="1" applyFill="1" applyBorder="1" applyAlignment="1">
      <alignment horizontal="center" vertical="center" wrapText="1"/>
    </xf>
    <xf numFmtId="0" fontId="68" fillId="40" borderId="61" xfId="0" applyFont="1" applyFill="1" applyBorder="1" applyAlignment="1">
      <alignment horizontal="center" vertical="center" wrapText="1"/>
    </xf>
    <xf numFmtId="0" fontId="68" fillId="40" borderId="64" xfId="0" applyFont="1" applyFill="1" applyBorder="1" applyAlignment="1">
      <alignment horizontal="center" vertical="center" wrapText="1"/>
    </xf>
    <xf numFmtId="0" fontId="68" fillId="40" borderId="55" xfId="0" applyFont="1" applyFill="1" applyBorder="1" applyAlignment="1">
      <alignment horizontal="center" vertical="center" wrapText="1"/>
    </xf>
    <xf numFmtId="0" fontId="68" fillId="40" borderId="74" xfId="0" applyFont="1" applyFill="1" applyBorder="1" applyAlignment="1">
      <alignment horizontal="center" vertical="center" wrapText="1"/>
    </xf>
    <xf numFmtId="0" fontId="68" fillId="40" borderId="75" xfId="0" applyFont="1" applyFill="1" applyBorder="1" applyAlignment="1">
      <alignment horizontal="center" vertical="center" wrapText="1"/>
    </xf>
    <xf numFmtId="0" fontId="66" fillId="0" borderId="55" xfId="0" applyFont="1" applyBorder="1" applyAlignment="1">
      <alignment vertical="center" wrapText="1"/>
    </xf>
    <xf numFmtId="0" fontId="66" fillId="0" borderId="74" xfId="0" applyFont="1" applyBorder="1" applyAlignment="1">
      <alignment vertical="center" wrapText="1"/>
    </xf>
    <xf numFmtId="0" fontId="66" fillId="0" borderId="75" xfId="0" applyFont="1" applyBorder="1" applyAlignment="1">
      <alignment vertical="center" wrapText="1"/>
    </xf>
    <xf numFmtId="0" fontId="13" fillId="40" borderId="12" xfId="0" applyFont="1" applyFill="1" applyBorder="1" applyAlignment="1">
      <alignment horizontal="center" vertical="center" wrapText="1"/>
    </xf>
    <xf numFmtId="0" fontId="13" fillId="40" borderId="13" xfId="0" applyFont="1" applyFill="1" applyBorder="1" applyAlignment="1">
      <alignment horizontal="center" vertical="center" wrapText="1"/>
    </xf>
    <xf numFmtId="0" fontId="13" fillId="40" borderId="15" xfId="0" applyFont="1" applyFill="1" applyBorder="1" applyAlignment="1">
      <alignment horizontal="center" vertical="center" wrapText="1"/>
    </xf>
    <xf numFmtId="0" fontId="13" fillId="40" borderId="14" xfId="0" applyFont="1" applyFill="1" applyBorder="1" applyAlignment="1">
      <alignment horizontal="center" vertical="center" wrapText="1"/>
    </xf>
    <xf numFmtId="0" fontId="13" fillId="40" borderId="11" xfId="0" applyFont="1" applyFill="1" applyBorder="1" applyAlignment="1">
      <alignment horizontal="center" vertical="center" wrapText="1"/>
    </xf>
    <xf numFmtId="0" fontId="13" fillId="40" borderId="18" xfId="0" applyFont="1" applyFill="1" applyBorder="1" applyAlignment="1">
      <alignment horizontal="center" vertical="center" wrapText="1"/>
    </xf>
    <xf numFmtId="0" fontId="17" fillId="0" borderId="73" xfId="0" applyNumberFormat="1" applyFont="1" applyBorder="1" applyAlignment="1">
      <alignment horizontal="left" vertical="top" wrapText="1"/>
    </xf>
    <xf numFmtId="0" fontId="15" fillId="0" borderId="76" xfId="0" applyNumberFormat="1" applyFont="1" applyBorder="1" applyAlignment="1">
      <alignment horizontal="center" vertical="center" wrapText="1"/>
    </xf>
    <xf numFmtId="0" fontId="15" fillId="0" borderId="77" xfId="0" applyNumberFormat="1" applyFont="1" applyBorder="1" applyAlignment="1">
      <alignment horizontal="center" vertical="center" wrapText="1"/>
    </xf>
    <xf numFmtId="0" fontId="15" fillId="0" borderId="78" xfId="0" applyNumberFormat="1" applyFont="1" applyBorder="1" applyAlignment="1">
      <alignment horizontal="center" vertical="center" wrapText="1"/>
    </xf>
    <xf numFmtId="0" fontId="15" fillId="0" borderId="79" xfId="0" applyNumberFormat="1" applyFont="1" applyBorder="1" applyAlignment="1">
      <alignment horizontal="center" vertical="center" wrapText="1"/>
    </xf>
    <xf numFmtId="0" fontId="15" fillId="0" borderId="80" xfId="0" applyNumberFormat="1" applyFont="1" applyBorder="1" applyAlignment="1">
      <alignment horizontal="center" vertical="center" wrapText="1"/>
    </xf>
    <xf numFmtId="0" fontId="15" fillId="0" borderId="31" xfId="0" applyNumberFormat="1" applyFont="1" applyBorder="1" applyAlignment="1">
      <alignment horizontal="center" vertical="center" wrapText="1"/>
    </xf>
    <xf numFmtId="0" fontId="15" fillId="0" borderId="81" xfId="0" applyNumberFormat="1" applyFont="1" applyBorder="1" applyAlignment="1">
      <alignment horizontal="center" vertical="top" wrapText="1"/>
    </xf>
    <xf numFmtId="0" fontId="15" fillId="0" borderId="82" xfId="0" applyNumberFormat="1" applyFont="1" applyBorder="1" applyAlignment="1">
      <alignment horizontal="center" vertical="top" wrapText="1"/>
    </xf>
    <xf numFmtId="0" fontId="15" fillId="0" borderId="83" xfId="0" applyNumberFormat="1" applyFont="1" applyBorder="1" applyAlignment="1">
      <alignment horizontal="center" vertical="top" wrapText="1"/>
    </xf>
    <xf numFmtId="0" fontId="15" fillId="0" borderId="81" xfId="0" applyNumberFormat="1" applyFont="1" applyBorder="1" applyAlignment="1">
      <alignment horizontal="center" vertical="center" wrapText="1"/>
    </xf>
    <xf numFmtId="0" fontId="15" fillId="0" borderId="82" xfId="0" applyNumberFormat="1" applyFont="1" applyBorder="1" applyAlignment="1">
      <alignment horizontal="center" vertical="center" wrapText="1"/>
    </xf>
    <xf numFmtId="0" fontId="15" fillId="0" borderId="84" xfId="0" applyNumberFormat="1" applyFont="1" applyBorder="1" applyAlignment="1">
      <alignment horizontal="center" vertical="center" wrapText="1"/>
    </xf>
    <xf numFmtId="0" fontId="16" fillId="0" borderId="85" xfId="0" applyNumberFormat="1" applyFont="1" applyBorder="1" applyAlignment="1">
      <alignment horizontal="center" vertical="center" wrapText="1"/>
    </xf>
    <xf numFmtId="0" fontId="16" fillId="0" borderId="30" xfId="0" applyNumberFormat="1" applyFont="1" applyBorder="1" applyAlignment="1">
      <alignment horizontal="center" vertical="center" wrapText="1"/>
    </xf>
    <xf numFmtId="0" fontId="16" fillId="0" borderId="86" xfId="0" applyNumberFormat="1" applyFont="1" applyBorder="1" applyAlignment="1">
      <alignment horizontal="center" vertical="center" wrapText="1"/>
    </xf>
    <xf numFmtId="0" fontId="15" fillId="0" borderId="72" xfId="0" applyNumberFormat="1" applyFont="1" applyBorder="1" applyAlignment="1">
      <alignment horizontal="center" vertical="center" wrapText="1"/>
    </xf>
    <xf numFmtId="0" fontId="15" fillId="0" borderId="73" xfId="0" applyNumberFormat="1" applyFont="1" applyBorder="1" applyAlignment="1">
      <alignment horizontal="center" vertical="center" wrapText="1"/>
    </xf>
    <xf numFmtId="0" fontId="15" fillId="0" borderId="43" xfId="0" applyNumberFormat="1" applyFont="1" applyBorder="1" applyAlignment="1">
      <alignment horizontal="center" vertical="center" wrapText="1"/>
    </xf>
    <xf numFmtId="0" fontId="15" fillId="0" borderId="83" xfId="0" applyNumberFormat="1" applyFont="1" applyBorder="1" applyAlignment="1">
      <alignment horizontal="center" vertical="center" wrapText="1"/>
    </xf>
    <xf numFmtId="3" fontId="13" fillId="0" borderId="13" xfId="0" applyNumberFormat="1" applyFont="1" applyBorder="1" applyAlignment="1">
      <alignment horizontal="center" vertical="center" wrapText="1"/>
    </xf>
    <xf numFmtId="3" fontId="13" fillId="0" borderId="11" xfId="0" applyNumberFormat="1" applyFont="1" applyBorder="1" applyAlignment="1">
      <alignment horizontal="center" vertical="center" wrapText="1"/>
    </xf>
    <xf numFmtId="3" fontId="13" fillId="0" borderId="15" xfId="0" applyNumberFormat="1" applyFont="1" applyBorder="1" applyAlignment="1">
      <alignment horizontal="center" vertical="center" wrapText="1"/>
    </xf>
    <xf numFmtId="3" fontId="13" fillId="0" borderId="18" xfId="0" applyNumberFormat="1" applyFont="1" applyBorder="1" applyAlignment="1">
      <alignment horizontal="center" vertical="center" wrapText="1"/>
    </xf>
    <xf numFmtId="0" fontId="13" fillId="0" borderId="12"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8" xfId="0" applyFont="1" applyBorder="1" applyAlignment="1">
      <alignment horizontal="center" vertical="center" wrapText="1"/>
    </xf>
    <xf numFmtId="0" fontId="21" fillId="0" borderId="55" xfId="0" applyFont="1" applyBorder="1" applyAlignment="1">
      <alignment horizontal="center" vertical="center"/>
    </xf>
    <xf numFmtId="0" fontId="21" fillId="0" borderId="74" xfId="0" applyFont="1" applyBorder="1" applyAlignment="1">
      <alignment horizontal="center" vertical="center"/>
    </xf>
    <xf numFmtId="0" fontId="21" fillId="0" borderId="75" xfId="0" applyFont="1" applyBorder="1" applyAlignment="1">
      <alignment horizontal="center" vertical="center"/>
    </xf>
    <xf numFmtId="3" fontId="8" fillId="0" borderId="15" xfId="0" applyNumberFormat="1" applyFont="1" applyBorder="1" applyAlignment="1">
      <alignment horizontal="center" vertical="center" wrapText="1"/>
    </xf>
    <xf numFmtId="3" fontId="8" fillId="0" borderId="18" xfId="0" applyNumberFormat="1" applyFont="1" applyBorder="1" applyAlignment="1">
      <alignment horizontal="center" vertical="center" wrapText="1"/>
    </xf>
    <xf numFmtId="3" fontId="8" fillId="0" borderId="13" xfId="0" applyNumberFormat="1" applyFont="1" applyBorder="1" applyAlignment="1">
      <alignment horizontal="center" vertical="center" wrapText="1"/>
    </xf>
    <xf numFmtId="3" fontId="8" fillId="0" borderId="11"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22" fillId="0" borderId="55" xfId="0" applyFont="1" applyBorder="1" applyAlignment="1">
      <alignment horizontal="center" vertical="center"/>
    </xf>
    <xf numFmtId="0" fontId="22" fillId="0" borderId="74" xfId="0" applyFont="1" applyBorder="1" applyAlignment="1">
      <alignment horizontal="center" vertical="center"/>
    </xf>
    <xf numFmtId="0" fontId="22" fillId="0" borderId="75" xfId="0" applyFont="1" applyBorder="1" applyAlignment="1">
      <alignment horizontal="center" vertical="center"/>
    </xf>
    <xf numFmtId="3" fontId="13" fillId="0" borderId="87" xfId="0" applyNumberFormat="1" applyFont="1" applyFill="1" applyBorder="1" applyAlignment="1">
      <alignment horizontal="center" vertical="center" wrapText="1"/>
    </xf>
    <xf numFmtId="3" fontId="13" fillId="0" borderId="70" xfId="0" applyNumberFormat="1" applyFont="1" applyFill="1" applyBorder="1" applyAlignment="1">
      <alignment horizontal="center" vertical="center" wrapText="1"/>
    </xf>
    <xf numFmtId="3" fontId="13" fillId="0" borderId="55" xfId="0" applyNumberFormat="1" applyFont="1" applyBorder="1" applyAlignment="1">
      <alignment horizontal="center" vertical="center"/>
    </xf>
    <xf numFmtId="3" fontId="13" fillId="0" borderId="74" xfId="0" applyNumberFormat="1" applyFont="1" applyBorder="1" applyAlignment="1">
      <alignment horizontal="center" vertical="center"/>
    </xf>
    <xf numFmtId="3" fontId="13" fillId="0" borderId="75" xfId="0" applyNumberFormat="1" applyFont="1" applyBorder="1" applyAlignment="1">
      <alignment horizontal="center" vertical="center"/>
    </xf>
    <xf numFmtId="3" fontId="13" fillId="0" borderId="72" xfId="0" applyNumberFormat="1" applyFont="1" applyBorder="1" applyAlignment="1">
      <alignment horizontal="center" vertical="center"/>
    </xf>
    <xf numFmtId="3" fontId="13" fillId="0" borderId="73" xfId="0" applyNumberFormat="1" applyFont="1" applyBorder="1" applyAlignment="1">
      <alignment horizontal="center" vertical="center"/>
    </xf>
    <xf numFmtId="3" fontId="13" fillId="0" borderId="43" xfId="0" applyNumberFormat="1" applyFont="1" applyBorder="1" applyAlignment="1">
      <alignment horizontal="center" vertical="center"/>
    </xf>
    <xf numFmtId="0" fontId="13" fillId="0" borderId="73"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88" xfId="0" applyFont="1" applyFill="1" applyBorder="1" applyAlignment="1">
      <alignment horizontal="center" vertical="center"/>
    </xf>
    <xf numFmtId="0" fontId="13" fillId="0" borderId="48" xfId="0" applyFont="1" applyFill="1" applyBorder="1" applyAlignment="1">
      <alignment horizontal="center" vertical="center"/>
    </xf>
    <xf numFmtId="0" fontId="13" fillId="0" borderId="15"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88" xfId="0" applyFont="1" applyBorder="1" applyAlignment="1">
      <alignment horizontal="center" vertical="center"/>
    </xf>
    <xf numFmtId="0" fontId="13" fillId="0" borderId="69" xfId="0" applyFont="1" applyBorder="1" applyAlignment="1">
      <alignment horizontal="center" vertical="center"/>
    </xf>
    <xf numFmtId="0" fontId="13" fillId="0" borderId="55" xfId="0" applyFont="1" applyBorder="1" applyAlignment="1">
      <alignment horizontal="center"/>
    </xf>
    <xf numFmtId="0" fontId="13" fillId="0" borderId="74" xfId="0" applyFont="1" applyBorder="1" applyAlignment="1">
      <alignment horizontal="center"/>
    </xf>
    <xf numFmtId="0" fontId="13" fillId="0" borderId="75" xfId="0" applyFont="1" applyBorder="1" applyAlignment="1">
      <alignment horizontal="center"/>
    </xf>
    <xf numFmtId="0" fontId="13" fillId="0" borderId="72" xfId="0" applyFont="1" applyBorder="1" applyAlignment="1">
      <alignment horizontal="center"/>
    </xf>
    <xf numFmtId="0" fontId="13" fillId="0" borderId="73" xfId="0" applyFont="1" applyBorder="1" applyAlignment="1">
      <alignment horizontal="center"/>
    </xf>
    <xf numFmtId="0" fontId="13" fillId="0" borderId="43" xfId="0" applyFont="1" applyBorder="1" applyAlignment="1">
      <alignment horizontal="center"/>
    </xf>
    <xf numFmtId="0" fontId="13" fillId="0" borderId="56" xfId="0" applyFont="1" applyBorder="1" applyAlignment="1">
      <alignment horizontal="center"/>
    </xf>
    <xf numFmtId="0" fontId="13" fillId="0" borderId="57" xfId="0" applyFont="1" applyBorder="1" applyAlignment="1">
      <alignment horizontal="center"/>
    </xf>
    <xf numFmtId="0" fontId="13" fillId="0" borderId="58" xfId="0" applyFont="1" applyBorder="1" applyAlignment="1">
      <alignment horizontal="center"/>
    </xf>
    <xf numFmtId="0" fontId="13" fillId="0" borderId="43" xfId="0" applyFont="1" applyFill="1" applyBorder="1" applyAlignment="1">
      <alignment horizontal="center" vertical="center" wrapText="1"/>
    </xf>
    <xf numFmtId="0" fontId="13" fillId="0" borderId="89" xfId="0" applyFont="1" applyFill="1" applyBorder="1" applyAlignment="1">
      <alignment horizontal="center" vertical="center" wrapText="1"/>
    </xf>
    <xf numFmtId="0" fontId="13" fillId="0" borderId="72" xfId="0" applyFont="1" applyBorder="1" applyAlignment="1">
      <alignment horizontal="center" vertical="center" wrapText="1"/>
    </xf>
    <xf numFmtId="0" fontId="13" fillId="0" borderId="90" xfId="0" applyFont="1" applyBorder="1" applyAlignment="1">
      <alignment horizontal="center" vertical="center" wrapText="1"/>
    </xf>
    <xf numFmtId="0" fontId="13" fillId="0" borderId="16" xfId="61" applyFont="1" applyFill="1" applyBorder="1" applyAlignment="1">
      <alignment horizontal="center" vertical="center"/>
      <protection/>
    </xf>
    <xf numFmtId="0" fontId="13" fillId="0" borderId="17" xfId="61" applyFont="1" applyFill="1" applyBorder="1" applyAlignment="1">
      <alignment horizontal="center" vertical="center"/>
      <protection/>
    </xf>
    <xf numFmtId="0" fontId="66" fillId="0" borderId="45" xfId="0" applyFont="1" applyFill="1" applyBorder="1" applyAlignment="1">
      <alignment horizontal="center" vertical="center" wrapText="1"/>
    </xf>
    <xf numFmtId="0" fontId="66" fillId="0" borderId="26" xfId="0" applyFont="1" applyFill="1" applyBorder="1" applyAlignment="1">
      <alignment horizontal="center" vertical="center" wrapText="1"/>
    </xf>
    <xf numFmtId="0" fontId="66" fillId="0" borderId="44" xfId="0" applyFont="1" applyFill="1" applyBorder="1" applyAlignment="1">
      <alignment horizontal="center" vertical="center" wrapText="1"/>
    </xf>
    <xf numFmtId="0" fontId="66" fillId="0" borderId="91" xfId="0" applyFont="1" applyFill="1" applyBorder="1" applyAlignment="1">
      <alignment horizontal="center" vertical="center" wrapText="1"/>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69" xfId="0" applyFont="1" applyFill="1" applyBorder="1" applyAlignment="1">
      <alignment horizontal="center" vertical="center"/>
    </xf>
    <xf numFmtId="0" fontId="66" fillId="0" borderId="12" xfId="0" applyFont="1" applyBorder="1" applyAlignment="1">
      <alignment horizontal="center" wrapText="1"/>
    </xf>
    <xf numFmtId="0" fontId="66" fillId="0" borderId="15" xfId="0" applyFont="1" applyBorder="1" applyAlignment="1">
      <alignment horizontal="center" wrapText="1"/>
    </xf>
    <xf numFmtId="0" fontId="66" fillId="0" borderId="14" xfId="0" applyFont="1" applyBorder="1" applyAlignment="1">
      <alignment horizontal="center" wrapText="1"/>
    </xf>
    <xf numFmtId="0" fontId="66" fillId="0" borderId="18" xfId="0" applyFont="1" applyBorder="1" applyAlignment="1">
      <alignment horizontal="center" wrapText="1"/>
    </xf>
    <xf numFmtId="0" fontId="63" fillId="0" borderId="16" xfId="0" applyFont="1" applyBorder="1" applyAlignment="1">
      <alignment horizontal="center" wrapText="1"/>
    </xf>
    <xf numFmtId="0" fontId="63" fillId="0" borderId="19" xfId="0" applyFont="1" applyBorder="1" applyAlignment="1">
      <alignment horizontal="center" wrapText="1"/>
    </xf>
    <xf numFmtId="0" fontId="63" fillId="0" borderId="14" xfId="0" applyFont="1" applyBorder="1" applyAlignment="1">
      <alignment horizontal="center" vertical="top" wrapText="1"/>
    </xf>
    <xf numFmtId="0" fontId="63" fillId="0" borderId="18" xfId="0" applyFont="1" applyBorder="1" applyAlignment="1">
      <alignment horizontal="center" vertical="top" wrapText="1"/>
    </xf>
    <xf numFmtId="0" fontId="72" fillId="0" borderId="14" xfId="56" applyFont="1" applyFill="1" applyBorder="1" applyAlignment="1" applyProtection="1">
      <alignment horizontal="center" wrapText="1"/>
      <protection/>
    </xf>
    <xf numFmtId="0" fontId="72" fillId="0" borderId="18" xfId="56" applyFont="1" applyFill="1" applyBorder="1" applyAlignment="1" applyProtection="1">
      <alignment horizontal="center" wrapText="1"/>
      <protection/>
    </xf>
    <xf numFmtId="0" fontId="65" fillId="0" borderId="14" xfId="0" applyFont="1" applyFill="1" applyBorder="1" applyAlignment="1">
      <alignment horizontal="center" wrapText="1"/>
    </xf>
    <xf numFmtId="0" fontId="65" fillId="0" borderId="18" xfId="0" applyFont="1" applyFill="1" applyBorder="1" applyAlignment="1">
      <alignment horizontal="center" wrapText="1"/>
    </xf>
    <xf numFmtId="0" fontId="13" fillId="0" borderId="47" xfId="0" applyFont="1" applyBorder="1" applyAlignment="1">
      <alignment horizontal="center" vertical="center" wrapText="1"/>
    </xf>
    <xf numFmtId="0" fontId="13" fillId="0" borderId="92"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12" xfId="0" applyFont="1" applyBorder="1" applyAlignment="1">
      <alignment horizontal="center"/>
    </xf>
    <xf numFmtId="0" fontId="13" fillId="0" borderId="13" xfId="0" applyFont="1" applyBorder="1" applyAlignment="1">
      <alignment horizontal="center"/>
    </xf>
    <xf numFmtId="0" fontId="13" fillId="0" borderId="15" xfId="0" applyFont="1" applyBorder="1" applyAlignment="1">
      <alignment horizontal="center"/>
    </xf>
    <xf numFmtId="0" fontId="68" fillId="39" borderId="14" xfId="60" applyFont="1" applyFill="1" applyBorder="1" applyAlignment="1">
      <alignment horizontal="center" vertical="center" wrapText="1"/>
      <protection/>
    </xf>
    <xf numFmtId="0" fontId="68" fillId="39" borderId="11" xfId="60" applyFont="1" applyFill="1" applyBorder="1" applyAlignment="1">
      <alignment horizontal="center" vertical="center" wrapText="1"/>
      <protection/>
    </xf>
    <xf numFmtId="188" fontId="68" fillId="39" borderId="88" xfId="60" applyNumberFormat="1" applyFont="1" applyFill="1" applyBorder="1" applyAlignment="1">
      <alignment horizontal="center" vertical="center"/>
      <protection/>
    </xf>
    <xf numFmtId="188" fontId="68" fillId="39" borderId="92" xfId="60" applyNumberFormat="1" applyFont="1" applyFill="1" applyBorder="1" applyAlignment="1">
      <alignment horizontal="center" vertical="center"/>
      <protection/>
    </xf>
    <xf numFmtId="188" fontId="68" fillId="39" borderId="69" xfId="60" applyNumberFormat="1" applyFont="1" applyFill="1" applyBorder="1" applyAlignment="1">
      <alignment horizontal="center" vertical="center"/>
      <protection/>
    </xf>
    <xf numFmtId="0" fontId="70" fillId="40" borderId="16" xfId="60" applyFont="1" applyFill="1" applyBorder="1" applyAlignment="1">
      <alignment horizontal="center" vertical="center" wrapText="1"/>
      <protection/>
    </xf>
    <xf numFmtId="0" fontId="70" fillId="40" borderId="17" xfId="60" applyFont="1" applyFill="1" applyBorder="1" applyAlignment="1">
      <alignment horizontal="center" vertical="center" wrapText="1"/>
      <protection/>
    </xf>
    <xf numFmtId="188" fontId="68" fillId="5" borderId="24" xfId="60" applyNumberFormat="1" applyFont="1" applyFill="1" applyBorder="1" applyAlignment="1">
      <alignment horizontal="center" vertical="center"/>
      <protection/>
    </xf>
    <xf numFmtId="188" fontId="68" fillId="5" borderId="25" xfId="60" applyNumberFormat="1" applyFont="1" applyFill="1" applyBorder="1" applyAlignment="1">
      <alignment horizontal="center" vertical="center"/>
      <protection/>
    </xf>
    <xf numFmtId="188" fontId="68" fillId="5" borderId="52" xfId="60" applyNumberFormat="1" applyFont="1" applyFill="1" applyBorder="1" applyAlignment="1">
      <alignment horizontal="center" vertical="center"/>
      <protection/>
    </xf>
    <xf numFmtId="0" fontId="68" fillId="0" borderId="12" xfId="60" applyFont="1" applyFill="1" applyBorder="1" applyAlignment="1">
      <alignment vertical="center" wrapText="1"/>
      <protection/>
    </xf>
    <xf numFmtId="0" fontId="68" fillId="0" borderId="13" xfId="60" applyFont="1" applyFill="1" applyBorder="1" applyAlignment="1">
      <alignment vertical="center" wrapText="1"/>
      <protection/>
    </xf>
    <xf numFmtId="0" fontId="68" fillId="0" borderId="15" xfId="60" applyFont="1" applyFill="1" applyBorder="1" applyAlignment="1">
      <alignment vertical="center" wrapText="1"/>
      <protection/>
    </xf>
    <xf numFmtId="0" fontId="68" fillId="0" borderId="12" xfId="0" applyFont="1" applyFill="1" applyBorder="1" applyAlignment="1">
      <alignment horizontal="left" vertical="center"/>
    </xf>
    <xf numFmtId="0" fontId="68" fillId="0" borderId="13" xfId="0" applyFont="1" applyFill="1" applyBorder="1" applyAlignment="1">
      <alignment horizontal="left" vertical="center"/>
    </xf>
    <xf numFmtId="0" fontId="68" fillId="0" borderId="15" xfId="0" applyFont="1" applyFill="1" applyBorder="1" applyAlignment="1">
      <alignment horizontal="left" vertical="center"/>
    </xf>
    <xf numFmtId="0" fontId="68" fillId="40" borderId="12" xfId="60" applyFont="1" applyFill="1" applyBorder="1" applyAlignment="1">
      <alignment horizontal="center" vertical="center" wrapText="1"/>
      <protection/>
    </xf>
    <xf numFmtId="0" fontId="68" fillId="40" borderId="13" xfId="60" applyFont="1" applyFill="1" applyBorder="1" applyAlignment="1">
      <alignment horizontal="center" vertical="center" wrapText="1"/>
      <protection/>
    </xf>
    <xf numFmtId="0" fontId="68" fillId="40" borderId="15" xfId="60" applyFont="1" applyFill="1" applyBorder="1" applyAlignment="1">
      <alignment horizontal="center" vertical="center" wrapText="1"/>
      <protection/>
    </xf>
    <xf numFmtId="0" fontId="68" fillId="40" borderId="12" xfId="60" applyFont="1" applyFill="1" applyBorder="1" applyAlignment="1">
      <alignment vertical="center" wrapText="1"/>
      <protection/>
    </xf>
    <xf numFmtId="0" fontId="68" fillId="40" borderId="13" xfId="60" applyFont="1" applyFill="1" applyBorder="1" applyAlignment="1">
      <alignment vertical="center" wrapText="1"/>
      <protection/>
    </xf>
    <xf numFmtId="0" fontId="68" fillId="40" borderId="15" xfId="60" applyFont="1" applyFill="1" applyBorder="1" applyAlignment="1">
      <alignment vertical="center" wrapText="1"/>
      <protection/>
    </xf>
    <xf numFmtId="0" fontId="68" fillId="5" borderId="24" xfId="60" applyFont="1" applyFill="1" applyBorder="1" applyAlignment="1">
      <alignment horizontal="center" vertical="center" wrapText="1"/>
      <protection/>
    </xf>
    <xf numFmtId="0" fontId="68" fillId="5" borderId="25" xfId="60" applyFont="1" applyFill="1" applyBorder="1" applyAlignment="1">
      <alignment horizontal="center" vertical="center" wrapText="1"/>
      <protection/>
    </xf>
    <xf numFmtId="0" fontId="68" fillId="5" borderId="52" xfId="60" applyFont="1" applyFill="1" applyBorder="1" applyAlignment="1">
      <alignment horizontal="center" vertical="center" wrapText="1"/>
      <protection/>
    </xf>
    <xf numFmtId="0" fontId="68" fillId="5" borderId="14" xfId="60" applyFont="1" applyFill="1" applyBorder="1" applyAlignment="1">
      <alignment horizontal="center" vertical="center" wrapText="1"/>
      <protection/>
    </xf>
    <xf numFmtId="0" fontId="68" fillId="5" borderId="11" xfId="60" applyFont="1" applyFill="1" applyBorder="1" applyAlignment="1">
      <alignment horizontal="center" vertical="center" wrapText="1"/>
      <protection/>
    </xf>
    <xf numFmtId="188" fontId="68" fillId="5" borderId="24" xfId="60" applyNumberFormat="1" applyFont="1" applyFill="1" applyBorder="1" applyAlignment="1">
      <alignment horizontal="center" vertical="center" wrapText="1"/>
      <protection/>
    </xf>
    <xf numFmtId="188" fontId="68" fillId="5" borderId="25" xfId="60" applyNumberFormat="1" applyFont="1" applyFill="1" applyBorder="1" applyAlignment="1">
      <alignment horizontal="center" vertical="center" wrapText="1"/>
      <protection/>
    </xf>
    <xf numFmtId="188" fontId="68" fillId="5" borderId="52" xfId="60" applyNumberFormat="1" applyFont="1" applyFill="1" applyBorder="1" applyAlignment="1">
      <alignment horizontal="center" vertical="center" wrapText="1"/>
      <protection/>
    </xf>
    <xf numFmtId="0" fontId="66" fillId="0" borderId="12"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27" xfId="0" applyFont="1" applyFill="1" applyBorder="1" applyAlignment="1">
      <alignment horizontal="center"/>
    </xf>
    <xf numFmtId="0" fontId="66" fillId="0" borderId="28" xfId="0" applyFont="1" applyFill="1" applyBorder="1" applyAlignment="1">
      <alignment horizontal="center"/>
    </xf>
    <xf numFmtId="0" fontId="66" fillId="0" borderId="24" xfId="0" applyFont="1" applyFill="1" applyBorder="1" applyAlignment="1">
      <alignment horizontal="center" vertical="center" wrapText="1"/>
    </xf>
    <xf numFmtId="0" fontId="66" fillId="0" borderId="67" xfId="0" applyFont="1" applyFill="1" applyBorder="1" applyAlignment="1">
      <alignment horizontal="center" vertical="center" wrapText="1"/>
    </xf>
    <xf numFmtId="0" fontId="66" fillId="0" borderId="41" xfId="0" applyFont="1" applyFill="1" applyBorder="1" applyAlignment="1">
      <alignment horizontal="center" vertical="center" wrapText="1"/>
    </xf>
    <xf numFmtId="0" fontId="66" fillId="0" borderId="55" xfId="0" applyFont="1" applyBorder="1" applyAlignment="1">
      <alignment horizontal="center"/>
    </xf>
    <xf numFmtId="0" fontId="66" fillId="0" borderId="74" xfId="0" applyFont="1" applyBorder="1" applyAlignment="1">
      <alignment horizontal="center"/>
    </xf>
    <xf numFmtId="0" fontId="66" fillId="0" borderId="75" xfId="0" applyFont="1" applyBorder="1" applyAlignment="1">
      <alignment horizontal="center"/>
    </xf>
    <xf numFmtId="0" fontId="66" fillId="0" borderId="14" xfId="0" applyFont="1" applyFill="1" applyBorder="1" applyAlignment="1">
      <alignment horizontal="center" vertical="center" wrapText="1"/>
    </xf>
    <xf numFmtId="0" fontId="68" fillId="41" borderId="11" xfId="0" applyFont="1" applyFill="1" applyBorder="1" applyAlignment="1">
      <alignment horizontal="center" vertical="center" wrapText="1"/>
    </xf>
    <xf numFmtId="0" fontId="68" fillId="0" borderId="12" xfId="0" applyFont="1" applyFill="1" applyBorder="1" applyAlignment="1">
      <alignment horizontal="center" vertical="center"/>
    </xf>
    <xf numFmtId="0" fontId="68" fillId="0" borderId="13" xfId="0" applyFont="1" applyFill="1" applyBorder="1" applyAlignment="1">
      <alignment horizontal="center" vertical="center"/>
    </xf>
    <xf numFmtId="0" fontId="68" fillId="0" borderId="15" xfId="0" applyFont="1" applyFill="1" applyBorder="1" applyAlignment="1">
      <alignment horizontal="center" vertical="center"/>
    </xf>
    <xf numFmtId="0" fontId="68" fillId="41" borderId="46" xfId="0" applyFont="1" applyFill="1" applyBorder="1" applyAlignment="1">
      <alignment horizontal="center" vertical="center" wrapText="1"/>
    </xf>
    <xf numFmtId="0" fontId="68" fillId="41" borderId="25" xfId="0" applyFont="1" applyFill="1" applyBorder="1" applyAlignment="1">
      <alignment horizontal="center" vertical="center" wrapText="1"/>
    </xf>
    <xf numFmtId="0" fontId="68" fillId="38" borderId="11" xfId="0" applyFont="1" applyFill="1" applyBorder="1" applyAlignment="1">
      <alignment horizontal="center" vertical="center" wrapText="1"/>
    </xf>
    <xf numFmtId="0" fontId="13" fillId="41" borderId="12" xfId="0" applyFont="1" applyFill="1" applyBorder="1" applyAlignment="1">
      <alignment horizontal="center" vertical="center" wrapText="1"/>
    </xf>
    <xf numFmtId="0" fontId="13" fillId="41" borderId="13" xfId="0" applyFont="1" applyFill="1" applyBorder="1" applyAlignment="1">
      <alignment horizontal="center" vertical="center" wrapText="1"/>
    </xf>
    <xf numFmtId="0" fontId="13" fillId="41" borderId="15" xfId="0" applyFont="1" applyFill="1" applyBorder="1" applyAlignment="1">
      <alignment horizontal="center" vertical="center" wrapText="1"/>
    </xf>
    <xf numFmtId="0" fontId="13" fillId="38" borderId="14" xfId="0" applyFont="1" applyFill="1" applyBorder="1" applyAlignment="1">
      <alignment horizontal="center" vertical="center" wrapText="1"/>
    </xf>
    <xf numFmtId="0" fontId="13" fillId="38" borderId="11" xfId="0" applyFont="1" applyFill="1" applyBorder="1" applyAlignment="1">
      <alignment horizontal="center" vertical="center" wrapText="1"/>
    </xf>
    <xf numFmtId="0" fontId="13" fillId="38" borderId="18"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13" fillId="0" borderId="88" xfId="0" applyFont="1" applyFill="1" applyBorder="1" applyAlignment="1">
      <alignment horizontal="center"/>
    </xf>
    <xf numFmtId="0" fontId="13" fillId="0" borderId="69" xfId="0" applyFont="1" applyFill="1" applyBorder="1" applyAlignment="1">
      <alignment horizont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6" xfId="0" applyFont="1" applyBorder="1" applyAlignment="1">
      <alignment horizontal="center" vertical="center" wrapText="1"/>
    </xf>
    <xf numFmtId="0" fontId="61" fillId="0" borderId="0" xfId="0" applyFont="1" applyFill="1" applyBorder="1" applyAlignment="1">
      <alignment horizontal="center" vertical="center" wrapText="1"/>
    </xf>
    <xf numFmtId="0" fontId="5" fillId="38" borderId="11" xfId="0" applyFont="1" applyFill="1" applyBorder="1" applyAlignment="1">
      <alignment horizontal="center" vertical="center" wrapText="1"/>
    </xf>
    <xf numFmtId="0" fontId="11" fillId="0" borderId="11" xfId="0" applyFont="1" applyBorder="1" applyAlignment="1">
      <alignment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17" xfId="60"/>
    <cellStyle name="Normal 2" xfId="61"/>
    <cellStyle name="Note" xfId="62"/>
    <cellStyle name="Note 2" xfId="63"/>
    <cellStyle name="Note 3" xfId="64"/>
    <cellStyle name="Output" xfId="65"/>
    <cellStyle name="Percent" xfId="66"/>
    <cellStyle name="Percent 2"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0</xdr:rowOff>
    </xdr:from>
    <xdr:to>
      <xdr:col>10</xdr:col>
      <xdr:colOff>238125</xdr:colOff>
      <xdr:row>49</xdr:row>
      <xdr:rowOff>104775</xdr:rowOff>
    </xdr:to>
    <xdr:pic>
      <xdr:nvPicPr>
        <xdr:cNvPr id="1" name="Picture 1"/>
        <xdr:cNvPicPr preferRelativeResize="1">
          <a:picLocks noChangeAspect="1"/>
        </xdr:cNvPicPr>
      </xdr:nvPicPr>
      <xdr:blipFill>
        <a:blip r:embed="rId1"/>
        <a:stretch>
          <a:fillRect/>
        </a:stretch>
      </xdr:blipFill>
      <xdr:spPr>
        <a:xfrm>
          <a:off x="123825" y="0"/>
          <a:ext cx="6210300" cy="803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54</xdr:row>
      <xdr:rowOff>0</xdr:rowOff>
    </xdr:from>
    <xdr:to>
      <xdr:col>9</xdr:col>
      <xdr:colOff>142875</xdr:colOff>
      <xdr:row>54</xdr:row>
      <xdr:rowOff>9525</xdr:rowOff>
    </xdr:to>
    <xdr:pic>
      <xdr:nvPicPr>
        <xdr:cNvPr id="1" name="Picture 1" descr="http://www.bea.gov/scb/_images/tblstrut.gif"/>
        <xdr:cNvPicPr preferRelativeResize="1">
          <a:picLocks noChangeAspect="1"/>
        </xdr:cNvPicPr>
      </xdr:nvPicPr>
      <xdr:blipFill>
        <a:blip r:embed="rId1"/>
        <a:stretch>
          <a:fillRect/>
        </a:stretch>
      </xdr:blipFill>
      <xdr:spPr>
        <a:xfrm>
          <a:off x="7829550" y="4314825"/>
          <a:ext cx="142875" cy="9525"/>
        </a:xfrm>
        <a:prstGeom prst="rect">
          <a:avLst/>
        </a:prstGeom>
        <a:noFill/>
        <a:ln w="9525" cmpd="sng">
          <a:noFill/>
        </a:ln>
      </xdr:spPr>
    </xdr:pic>
    <xdr:clientData/>
  </xdr:twoCellAnchor>
  <xdr:twoCellAnchor editAs="oneCell">
    <xdr:from>
      <xdr:col>9</xdr:col>
      <xdr:colOff>152400</xdr:colOff>
      <xdr:row>54</xdr:row>
      <xdr:rowOff>0</xdr:rowOff>
    </xdr:from>
    <xdr:to>
      <xdr:col>9</xdr:col>
      <xdr:colOff>295275</xdr:colOff>
      <xdr:row>54</xdr:row>
      <xdr:rowOff>9525</xdr:rowOff>
    </xdr:to>
    <xdr:pic>
      <xdr:nvPicPr>
        <xdr:cNvPr id="2" name="Picture 2" descr="http://www.bea.gov/scb/_images/tblstrut.gif"/>
        <xdr:cNvPicPr preferRelativeResize="1">
          <a:picLocks noChangeAspect="1"/>
        </xdr:cNvPicPr>
      </xdr:nvPicPr>
      <xdr:blipFill>
        <a:blip r:embed="rId1"/>
        <a:stretch>
          <a:fillRect/>
        </a:stretch>
      </xdr:blipFill>
      <xdr:spPr>
        <a:xfrm>
          <a:off x="7981950" y="4314825"/>
          <a:ext cx="142875" cy="9525"/>
        </a:xfrm>
        <a:prstGeom prst="rect">
          <a:avLst/>
        </a:prstGeom>
        <a:noFill/>
        <a:ln w="9525" cmpd="sng">
          <a:noFill/>
        </a:ln>
      </xdr:spPr>
    </xdr:pic>
    <xdr:clientData/>
  </xdr:twoCellAnchor>
  <xdr:twoCellAnchor editAs="oneCell">
    <xdr:from>
      <xdr:col>9</xdr:col>
      <xdr:colOff>0</xdr:colOff>
      <xdr:row>55</xdr:row>
      <xdr:rowOff>0</xdr:rowOff>
    </xdr:from>
    <xdr:to>
      <xdr:col>9</xdr:col>
      <xdr:colOff>142875</xdr:colOff>
      <xdr:row>55</xdr:row>
      <xdr:rowOff>9525</xdr:rowOff>
    </xdr:to>
    <xdr:pic>
      <xdr:nvPicPr>
        <xdr:cNvPr id="3" name="Picture 3" descr="http://www.bea.gov/scb/_images/tblstrut.gif"/>
        <xdr:cNvPicPr preferRelativeResize="1">
          <a:picLocks noChangeAspect="1"/>
        </xdr:cNvPicPr>
      </xdr:nvPicPr>
      <xdr:blipFill>
        <a:blip r:embed="rId1"/>
        <a:stretch>
          <a:fillRect/>
        </a:stretch>
      </xdr:blipFill>
      <xdr:spPr>
        <a:xfrm>
          <a:off x="7829550" y="4467225"/>
          <a:ext cx="142875" cy="9525"/>
        </a:xfrm>
        <a:prstGeom prst="rect">
          <a:avLst/>
        </a:prstGeom>
        <a:noFill/>
        <a:ln w="9525" cmpd="sng">
          <a:noFill/>
        </a:ln>
      </xdr:spPr>
    </xdr:pic>
    <xdr:clientData/>
  </xdr:twoCellAnchor>
  <xdr:twoCellAnchor editAs="oneCell">
    <xdr:from>
      <xdr:col>9</xdr:col>
      <xdr:colOff>152400</xdr:colOff>
      <xdr:row>55</xdr:row>
      <xdr:rowOff>0</xdr:rowOff>
    </xdr:from>
    <xdr:to>
      <xdr:col>9</xdr:col>
      <xdr:colOff>295275</xdr:colOff>
      <xdr:row>55</xdr:row>
      <xdr:rowOff>9525</xdr:rowOff>
    </xdr:to>
    <xdr:pic>
      <xdr:nvPicPr>
        <xdr:cNvPr id="4" name="Picture 4" descr="http://www.bea.gov/scb/_images/tblstrut.gif"/>
        <xdr:cNvPicPr preferRelativeResize="1">
          <a:picLocks noChangeAspect="1"/>
        </xdr:cNvPicPr>
      </xdr:nvPicPr>
      <xdr:blipFill>
        <a:blip r:embed="rId1"/>
        <a:stretch>
          <a:fillRect/>
        </a:stretch>
      </xdr:blipFill>
      <xdr:spPr>
        <a:xfrm>
          <a:off x="7981950" y="4467225"/>
          <a:ext cx="142875" cy="9525"/>
        </a:xfrm>
        <a:prstGeom prst="rect">
          <a:avLst/>
        </a:prstGeom>
        <a:noFill/>
        <a:ln w="9525" cmpd="sng">
          <a:noFill/>
        </a:ln>
      </xdr:spPr>
    </xdr:pic>
    <xdr:clientData/>
  </xdr:twoCellAnchor>
  <xdr:twoCellAnchor editAs="oneCell">
    <xdr:from>
      <xdr:col>9</xdr:col>
      <xdr:colOff>0</xdr:colOff>
      <xdr:row>56</xdr:row>
      <xdr:rowOff>0</xdr:rowOff>
    </xdr:from>
    <xdr:to>
      <xdr:col>9</xdr:col>
      <xdr:colOff>142875</xdr:colOff>
      <xdr:row>56</xdr:row>
      <xdr:rowOff>9525</xdr:rowOff>
    </xdr:to>
    <xdr:pic>
      <xdr:nvPicPr>
        <xdr:cNvPr id="5" name="Picture 5" descr="http://www.bea.gov/scb/_images/tblstrut.gif"/>
        <xdr:cNvPicPr preferRelativeResize="1">
          <a:picLocks noChangeAspect="1"/>
        </xdr:cNvPicPr>
      </xdr:nvPicPr>
      <xdr:blipFill>
        <a:blip r:embed="rId1"/>
        <a:stretch>
          <a:fillRect/>
        </a:stretch>
      </xdr:blipFill>
      <xdr:spPr>
        <a:xfrm>
          <a:off x="7829550" y="4619625"/>
          <a:ext cx="142875" cy="9525"/>
        </a:xfrm>
        <a:prstGeom prst="rect">
          <a:avLst/>
        </a:prstGeom>
        <a:noFill/>
        <a:ln w="9525" cmpd="sng">
          <a:noFill/>
        </a:ln>
      </xdr:spPr>
    </xdr:pic>
    <xdr:clientData/>
  </xdr:twoCellAnchor>
  <xdr:twoCellAnchor editAs="oneCell">
    <xdr:from>
      <xdr:col>9</xdr:col>
      <xdr:colOff>152400</xdr:colOff>
      <xdr:row>56</xdr:row>
      <xdr:rowOff>0</xdr:rowOff>
    </xdr:from>
    <xdr:to>
      <xdr:col>9</xdr:col>
      <xdr:colOff>295275</xdr:colOff>
      <xdr:row>56</xdr:row>
      <xdr:rowOff>9525</xdr:rowOff>
    </xdr:to>
    <xdr:pic>
      <xdr:nvPicPr>
        <xdr:cNvPr id="6" name="Picture 6" descr="http://www.bea.gov/scb/_images/tblstrut.gif"/>
        <xdr:cNvPicPr preferRelativeResize="1">
          <a:picLocks noChangeAspect="1"/>
        </xdr:cNvPicPr>
      </xdr:nvPicPr>
      <xdr:blipFill>
        <a:blip r:embed="rId1"/>
        <a:stretch>
          <a:fillRect/>
        </a:stretch>
      </xdr:blipFill>
      <xdr:spPr>
        <a:xfrm>
          <a:off x="7981950" y="4619625"/>
          <a:ext cx="142875" cy="9525"/>
        </a:xfrm>
        <a:prstGeom prst="rect">
          <a:avLst/>
        </a:prstGeom>
        <a:noFill/>
        <a:ln w="9525" cmpd="sng">
          <a:noFill/>
        </a:ln>
      </xdr:spPr>
    </xdr:pic>
    <xdr:clientData/>
  </xdr:twoCellAnchor>
  <xdr:twoCellAnchor editAs="oneCell">
    <xdr:from>
      <xdr:col>9</xdr:col>
      <xdr:colOff>0</xdr:colOff>
      <xdr:row>57</xdr:row>
      <xdr:rowOff>0</xdr:rowOff>
    </xdr:from>
    <xdr:to>
      <xdr:col>9</xdr:col>
      <xdr:colOff>142875</xdr:colOff>
      <xdr:row>57</xdr:row>
      <xdr:rowOff>9525</xdr:rowOff>
    </xdr:to>
    <xdr:pic>
      <xdr:nvPicPr>
        <xdr:cNvPr id="7" name="Picture 7" descr="http://www.bea.gov/scb/_images/tblstrut.gif"/>
        <xdr:cNvPicPr preferRelativeResize="1">
          <a:picLocks noChangeAspect="1"/>
        </xdr:cNvPicPr>
      </xdr:nvPicPr>
      <xdr:blipFill>
        <a:blip r:embed="rId1"/>
        <a:stretch>
          <a:fillRect/>
        </a:stretch>
      </xdr:blipFill>
      <xdr:spPr>
        <a:xfrm>
          <a:off x="7829550" y="4772025"/>
          <a:ext cx="142875" cy="9525"/>
        </a:xfrm>
        <a:prstGeom prst="rect">
          <a:avLst/>
        </a:prstGeom>
        <a:noFill/>
        <a:ln w="9525" cmpd="sng">
          <a:noFill/>
        </a:ln>
      </xdr:spPr>
    </xdr:pic>
    <xdr:clientData/>
  </xdr:twoCellAnchor>
  <xdr:twoCellAnchor editAs="oneCell">
    <xdr:from>
      <xdr:col>9</xdr:col>
      <xdr:colOff>152400</xdr:colOff>
      <xdr:row>57</xdr:row>
      <xdr:rowOff>0</xdr:rowOff>
    </xdr:from>
    <xdr:to>
      <xdr:col>9</xdr:col>
      <xdr:colOff>295275</xdr:colOff>
      <xdr:row>57</xdr:row>
      <xdr:rowOff>9525</xdr:rowOff>
    </xdr:to>
    <xdr:pic>
      <xdr:nvPicPr>
        <xdr:cNvPr id="8" name="Picture 8" descr="http://www.bea.gov/scb/_images/tblstrut.gif"/>
        <xdr:cNvPicPr preferRelativeResize="1">
          <a:picLocks noChangeAspect="1"/>
        </xdr:cNvPicPr>
      </xdr:nvPicPr>
      <xdr:blipFill>
        <a:blip r:embed="rId1"/>
        <a:stretch>
          <a:fillRect/>
        </a:stretch>
      </xdr:blipFill>
      <xdr:spPr>
        <a:xfrm>
          <a:off x="7981950" y="4772025"/>
          <a:ext cx="142875" cy="9525"/>
        </a:xfrm>
        <a:prstGeom prst="rect">
          <a:avLst/>
        </a:prstGeom>
        <a:noFill/>
        <a:ln w="9525" cmpd="sng">
          <a:noFill/>
        </a:ln>
      </xdr:spPr>
    </xdr:pic>
    <xdr:clientData/>
  </xdr:twoCellAnchor>
  <xdr:twoCellAnchor editAs="oneCell">
    <xdr:from>
      <xdr:col>9</xdr:col>
      <xdr:colOff>0</xdr:colOff>
      <xdr:row>58</xdr:row>
      <xdr:rowOff>0</xdr:rowOff>
    </xdr:from>
    <xdr:to>
      <xdr:col>9</xdr:col>
      <xdr:colOff>142875</xdr:colOff>
      <xdr:row>58</xdr:row>
      <xdr:rowOff>9525</xdr:rowOff>
    </xdr:to>
    <xdr:pic>
      <xdr:nvPicPr>
        <xdr:cNvPr id="9" name="Picture 9" descr="http://www.bea.gov/scb/_images/tblstrut.gif"/>
        <xdr:cNvPicPr preferRelativeResize="1">
          <a:picLocks noChangeAspect="1"/>
        </xdr:cNvPicPr>
      </xdr:nvPicPr>
      <xdr:blipFill>
        <a:blip r:embed="rId1"/>
        <a:stretch>
          <a:fillRect/>
        </a:stretch>
      </xdr:blipFill>
      <xdr:spPr>
        <a:xfrm>
          <a:off x="7829550" y="4924425"/>
          <a:ext cx="142875" cy="9525"/>
        </a:xfrm>
        <a:prstGeom prst="rect">
          <a:avLst/>
        </a:prstGeom>
        <a:noFill/>
        <a:ln w="9525" cmpd="sng">
          <a:noFill/>
        </a:ln>
      </xdr:spPr>
    </xdr:pic>
    <xdr:clientData/>
  </xdr:twoCellAnchor>
  <xdr:twoCellAnchor editAs="oneCell">
    <xdr:from>
      <xdr:col>9</xdr:col>
      <xdr:colOff>152400</xdr:colOff>
      <xdr:row>58</xdr:row>
      <xdr:rowOff>0</xdr:rowOff>
    </xdr:from>
    <xdr:to>
      <xdr:col>9</xdr:col>
      <xdr:colOff>295275</xdr:colOff>
      <xdr:row>58</xdr:row>
      <xdr:rowOff>9525</xdr:rowOff>
    </xdr:to>
    <xdr:pic>
      <xdr:nvPicPr>
        <xdr:cNvPr id="10" name="Picture 10" descr="http://www.bea.gov/scb/_images/tblstrut.gif"/>
        <xdr:cNvPicPr preferRelativeResize="1">
          <a:picLocks noChangeAspect="1"/>
        </xdr:cNvPicPr>
      </xdr:nvPicPr>
      <xdr:blipFill>
        <a:blip r:embed="rId1"/>
        <a:stretch>
          <a:fillRect/>
        </a:stretch>
      </xdr:blipFill>
      <xdr:spPr>
        <a:xfrm>
          <a:off x="7981950" y="4924425"/>
          <a:ext cx="142875" cy="9525"/>
        </a:xfrm>
        <a:prstGeom prst="rect">
          <a:avLst/>
        </a:prstGeom>
        <a:noFill/>
        <a:ln w="9525" cmpd="sng">
          <a:noFill/>
        </a:ln>
      </xdr:spPr>
    </xdr:pic>
    <xdr:clientData/>
  </xdr:twoCellAnchor>
  <xdr:twoCellAnchor editAs="oneCell">
    <xdr:from>
      <xdr:col>9</xdr:col>
      <xdr:colOff>0</xdr:colOff>
      <xdr:row>59</xdr:row>
      <xdr:rowOff>0</xdr:rowOff>
    </xdr:from>
    <xdr:to>
      <xdr:col>9</xdr:col>
      <xdr:colOff>142875</xdr:colOff>
      <xdr:row>59</xdr:row>
      <xdr:rowOff>9525</xdr:rowOff>
    </xdr:to>
    <xdr:pic>
      <xdr:nvPicPr>
        <xdr:cNvPr id="11" name="Picture 11" descr="http://www.bea.gov/scb/_images/tblstrut.gif"/>
        <xdr:cNvPicPr preferRelativeResize="1">
          <a:picLocks noChangeAspect="1"/>
        </xdr:cNvPicPr>
      </xdr:nvPicPr>
      <xdr:blipFill>
        <a:blip r:embed="rId1"/>
        <a:stretch>
          <a:fillRect/>
        </a:stretch>
      </xdr:blipFill>
      <xdr:spPr>
        <a:xfrm>
          <a:off x="7829550" y="5076825"/>
          <a:ext cx="142875" cy="9525"/>
        </a:xfrm>
        <a:prstGeom prst="rect">
          <a:avLst/>
        </a:prstGeom>
        <a:noFill/>
        <a:ln w="9525" cmpd="sng">
          <a:noFill/>
        </a:ln>
      </xdr:spPr>
    </xdr:pic>
    <xdr:clientData/>
  </xdr:twoCellAnchor>
  <xdr:twoCellAnchor editAs="oneCell">
    <xdr:from>
      <xdr:col>9</xdr:col>
      <xdr:colOff>152400</xdr:colOff>
      <xdr:row>59</xdr:row>
      <xdr:rowOff>0</xdr:rowOff>
    </xdr:from>
    <xdr:to>
      <xdr:col>9</xdr:col>
      <xdr:colOff>295275</xdr:colOff>
      <xdr:row>59</xdr:row>
      <xdr:rowOff>9525</xdr:rowOff>
    </xdr:to>
    <xdr:pic>
      <xdr:nvPicPr>
        <xdr:cNvPr id="12" name="Picture 12" descr="http://www.bea.gov/scb/_images/tblstrut.gif"/>
        <xdr:cNvPicPr preferRelativeResize="1">
          <a:picLocks noChangeAspect="1"/>
        </xdr:cNvPicPr>
      </xdr:nvPicPr>
      <xdr:blipFill>
        <a:blip r:embed="rId1"/>
        <a:stretch>
          <a:fillRect/>
        </a:stretch>
      </xdr:blipFill>
      <xdr:spPr>
        <a:xfrm>
          <a:off x="7981950" y="5076825"/>
          <a:ext cx="14287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581025</xdr:colOff>
      <xdr:row>3</xdr:row>
      <xdr:rowOff>95250</xdr:rowOff>
    </xdr:from>
    <xdr:to>
      <xdr:col>23</xdr:col>
      <xdr:colOff>180975</xdr:colOff>
      <xdr:row>21</xdr:row>
      <xdr:rowOff>142875</xdr:rowOff>
    </xdr:to>
    <xdr:pic>
      <xdr:nvPicPr>
        <xdr:cNvPr id="1" name="Picture 3"/>
        <xdr:cNvPicPr preferRelativeResize="1">
          <a:picLocks noChangeAspect="1"/>
        </xdr:cNvPicPr>
      </xdr:nvPicPr>
      <xdr:blipFill>
        <a:blip r:embed="rId1"/>
        <a:stretch>
          <a:fillRect/>
        </a:stretch>
      </xdr:blipFill>
      <xdr:spPr>
        <a:xfrm>
          <a:off x="19069050" y="695325"/>
          <a:ext cx="6305550" cy="3295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bea.gov/scb/account_articles/national/wlth2594/tableC.htm" TargetMode="External" /><Relationship Id="rId2" Type="http://schemas.openxmlformats.org/officeDocument/2006/relationships/drawing" Target="../drawings/drawing2.xml" /><Relationship Id="rId3"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M17" sqref="M17"/>
    </sheetView>
  </sheetViews>
  <sheetFormatPr defaultColWidth="9.140625" defaultRowHeight="12.75"/>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G37"/>
  <sheetViews>
    <sheetView zoomScalePageLayoutView="0" workbookViewId="0" topLeftCell="A1">
      <pane xSplit="2" topLeftCell="C1" activePane="topRight" state="frozen"/>
      <selection pane="topLeft" activeCell="A1" sqref="A1"/>
      <selection pane="topRight" activeCell="L26" sqref="L26"/>
    </sheetView>
  </sheetViews>
  <sheetFormatPr defaultColWidth="9.140625" defaultRowHeight="12.75"/>
  <cols>
    <col min="1" max="2" width="8.7109375" style="199" customWidth="1"/>
    <col min="3" max="3" width="14.00390625" style="99" customWidth="1"/>
    <col min="4" max="4" width="14.00390625" style="99" bestFit="1" customWidth="1"/>
    <col min="5" max="5" width="11.140625" style="99" customWidth="1"/>
    <col min="6" max="7" width="9.140625" style="80" customWidth="1"/>
    <col min="8" max="16384" width="9.140625" style="99" customWidth="1"/>
  </cols>
  <sheetData>
    <row r="1" spans="1:7" s="187" customFormat="1" ht="48">
      <c r="A1" s="180" t="s">
        <v>64</v>
      </c>
      <c r="B1" s="201" t="s">
        <v>1</v>
      </c>
      <c r="C1" s="201" t="s">
        <v>80</v>
      </c>
      <c r="D1" s="201" t="s">
        <v>191</v>
      </c>
      <c r="E1" s="202" t="s">
        <v>6</v>
      </c>
      <c r="F1" s="159"/>
      <c r="G1" s="159"/>
    </row>
    <row r="2" spans="1:5" ht="12">
      <c r="A2" s="188">
        <v>-2</v>
      </c>
      <c r="B2" s="100">
        <v>2018</v>
      </c>
      <c r="C2" s="203">
        <f>'Avoided Truck Miles'!Y3</f>
        <v>0</v>
      </c>
      <c r="D2" s="204">
        <f>+Inputs!B$25</f>
        <v>7.4</v>
      </c>
      <c r="E2" s="205">
        <f aca="true" t="shared" si="0" ref="E2:E33">C2/D2</f>
        <v>0</v>
      </c>
    </row>
    <row r="3" spans="1:5" ht="12">
      <c r="A3" s="188">
        <v>-1</v>
      </c>
      <c r="B3" s="206">
        <v>2019</v>
      </c>
      <c r="C3" s="203">
        <f>'Avoided Truck Miles'!Y4</f>
        <v>0</v>
      </c>
      <c r="D3" s="204">
        <f>+Inputs!B$25</f>
        <v>7.4</v>
      </c>
      <c r="E3" s="205">
        <f t="shared" si="0"/>
        <v>0</v>
      </c>
    </row>
    <row r="4" spans="1:5" ht="12">
      <c r="A4" s="188">
        <v>0</v>
      </c>
      <c r="B4" s="206">
        <v>2020</v>
      </c>
      <c r="C4" s="203">
        <f>'Avoided Truck Miles'!Y5</f>
        <v>0</v>
      </c>
      <c r="D4" s="204">
        <f>+Inputs!B$25</f>
        <v>7.4</v>
      </c>
      <c r="E4" s="205">
        <f>C4/D4</f>
        <v>0</v>
      </c>
    </row>
    <row r="5" spans="1:5" ht="12">
      <c r="A5" s="188">
        <v>1</v>
      </c>
      <c r="B5" s="206">
        <v>2021</v>
      </c>
      <c r="C5" s="203">
        <f>'Avoided Truck Miles'!Y6</f>
        <v>3773146.3483552905</v>
      </c>
      <c r="D5" s="204">
        <f>+Inputs!B$25</f>
        <v>7.4</v>
      </c>
      <c r="E5" s="205">
        <f t="shared" si="0"/>
        <v>509884.6416696338</v>
      </c>
    </row>
    <row r="6" spans="1:5" ht="12">
      <c r="A6" s="188">
        <v>2</v>
      </c>
      <c r="B6" s="206">
        <v>2022</v>
      </c>
      <c r="C6" s="203">
        <f>'Avoided Truck Miles'!Y7</f>
        <v>3802208.8483552905</v>
      </c>
      <c r="D6" s="204">
        <f>+Inputs!B$25</f>
        <v>7.4</v>
      </c>
      <c r="E6" s="205">
        <f t="shared" si="0"/>
        <v>513812.0065344987</v>
      </c>
    </row>
    <row r="7" spans="1:5" ht="12">
      <c r="A7" s="188">
        <v>3</v>
      </c>
      <c r="B7" s="206">
        <v>2023</v>
      </c>
      <c r="C7" s="203">
        <f>'Avoided Truck Miles'!Y8</f>
        <v>3831271.3483552905</v>
      </c>
      <c r="D7" s="204">
        <f>+Inputs!B$25</f>
        <v>7.4</v>
      </c>
      <c r="E7" s="205">
        <f t="shared" si="0"/>
        <v>517739.37139936356</v>
      </c>
    </row>
    <row r="8" spans="1:5" ht="12">
      <c r="A8" s="188">
        <v>4</v>
      </c>
      <c r="B8" s="206">
        <v>2024</v>
      </c>
      <c r="C8" s="203">
        <f>'Avoided Truck Miles'!Y9</f>
        <v>3860333.8483552905</v>
      </c>
      <c r="D8" s="204">
        <f>+Inputs!B$25</f>
        <v>7.4</v>
      </c>
      <c r="E8" s="205">
        <f t="shared" si="0"/>
        <v>521666.7362642284</v>
      </c>
    </row>
    <row r="9" spans="1:5" ht="12">
      <c r="A9" s="188">
        <v>5</v>
      </c>
      <c r="B9" s="206">
        <v>2025</v>
      </c>
      <c r="C9" s="203">
        <f>'Avoided Truck Miles'!Y10</f>
        <v>3889396.3483552905</v>
      </c>
      <c r="D9" s="204">
        <f>+Inputs!B$25</f>
        <v>7.4</v>
      </c>
      <c r="E9" s="205">
        <f t="shared" si="0"/>
        <v>525594.1011290933</v>
      </c>
    </row>
    <row r="10" spans="1:5" ht="12">
      <c r="A10" s="188">
        <v>6</v>
      </c>
      <c r="B10" s="206">
        <v>2026</v>
      </c>
      <c r="C10" s="203">
        <f>'Avoided Truck Miles'!Y11</f>
        <v>3889396.3483552905</v>
      </c>
      <c r="D10" s="204">
        <f>+Inputs!B$25</f>
        <v>7.4</v>
      </c>
      <c r="E10" s="205">
        <f t="shared" si="0"/>
        <v>525594.1011290933</v>
      </c>
    </row>
    <row r="11" spans="1:5" ht="12">
      <c r="A11" s="188">
        <v>7</v>
      </c>
      <c r="B11" s="206">
        <v>2027</v>
      </c>
      <c r="C11" s="203">
        <f>'Avoided Truck Miles'!Y12</f>
        <v>3734396.3483552905</v>
      </c>
      <c r="D11" s="204">
        <f>+Inputs!B$25</f>
        <v>7.4</v>
      </c>
      <c r="E11" s="205">
        <f t="shared" si="0"/>
        <v>504648.15518314735</v>
      </c>
    </row>
    <row r="12" spans="1:5" ht="12">
      <c r="A12" s="188">
        <v>8</v>
      </c>
      <c r="B12" s="206">
        <v>2028</v>
      </c>
      <c r="C12" s="203">
        <f>'Avoided Truck Miles'!Y13</f>
        <v>3734396.3483552905</v>
      </c>
      <c r="D12" s="204">
        <f>+Inputs!B$25</f>
        <v>7.4</v>
      </c>
      <c r="E12" s="205">
        <f t="shared" si="0"/>
        <v>504648.15518314735</v>
      </c>
    </row>
    <row r="13" spans="1:5" ht="12">
      <c r="A13" s="188">
        <v>9</v>
      </c>
      <c r="B13" s="206">
        <v>2029</v>
      </c>
      <c r="C13" s="203">
        <f>'Avoided Truck Miles'!Y14</f>
        <v>3734396.3483552905</v>
      </c>
      <c r="D13" s="204">
        <f>+Inputs!B$25</f>
        <v>7.4</v>
      </c>
      <c r="E13" s="205">
        <f t="shared" si="0"/>
        <v>504648.15518314735</v>
      </c>
    </row>
    <row r="14" spans="1:5" ht="12">
      <c r="A14" s="188">
        <v>10</v>
      </c>
      <c r="B14" s="206">
        <v>2030</v>
      </c>
      <c r="C14" s="203">
        <f>'Avoided Truck Miles'!Y15</f>
        <v>3734396.3483552905</v>
      </c>
      <c r="D14" s="204">
        <f>+Inputs!B$25</f>
        <v>7.4</v>
      </c>
      <c r="E14" s="205">
        <f t="shared" si="0"/>
        <v>504648.15518314735</v>
      </c>
    </row>
    <row r="15" spans="1:5" ht="12">
      <c r="A15" s="188">
        <v>11</v>
      </c>
      <c r="B15" s="206">
        <v>2031</v>
      </c>
      <c r="C15" s="203">
        <f>'Avoided Truck Miles'!Y16</f>
        <v>3734396.3483552905</v>
      </c>
      <c r="D15" s="204">
        <f>+Inputs!B$25</f>
        <v>7.4</v>
      </c>
      <c r="E15" s="205">
        <f t="shared" si="0"/>
        <v>504648.15518314735</v>
      </c>
    </row>
    <row r="16" spans="1:5" ht="12">
      <c r="A16" s="188">
        <v>12</v>
      </c>
      <c r="B16" s="206">
        <v>2032</v>
      </c>
      <c r="C16" s="203">
        <f>'Avoided Truck Miles'!Y17</f>
        <v>3734396.3483552905</v>
      </c>
      <c r="D16" s="204">
        <f>+Inputs!B$25</f>
        <v>7.4</v>
      </c>
      <c r="E16" s="205">
        <f t="shared" si="0"/>
        <v>504648.15518314735</v>
      </c>
    </row>
    <row r="17" spans="1:5" ht="12">
      <c r="A17" s="188">
        <v>13</v>
      </c>
      <c r="B17" s="206">
        <v>2033</v>
      </c>
      <c r="C17" s="203">
        <f>'Avoided Truck Miles'!Y18</f>
        <v>3734396.3483552905</v>
      </c>
      <c r="D17" s="204">
        <f>+Inputs!B$25</f>
        <v>7.4</v>
      </c>
      <c r="E17" s="205">
        <f t="shared" si="0"/>
        <v>504648.15518314735</v>
      </c>
    </row>
    <row r="18" spans="1:5" ht="12">
      <c r="A18" s="188">
        <v>14</v>
      </c>
      <c r="B18" s="206">
        <v>2034</v>
      </c>
      <c r="C18" s="203">
        <f>'Avoided Truck Miles'!Y19</f>
        <v>3734396.3483552905</v>
      </c>
      <c r="D18" s="204">
        <f>+Inputs!B$25</f>
        <v>7.4</v>
      </c>
      <c r="E18" s="205">
        <f t="shared" si="0"/>
        <v>504648.15518314735</v>
      </c>
    </row>
    <row r="19" spans="1:5" ht="12">
      <c r="A19" s="188">
        <v>15</v>
      </c>
      <c r="B19" s="206">
        <v>2035</v>
      </c>
      <c r="C19" s="203">
        <f>'Avoided Truck Miles'!Y20</f>
        <v>3734396.3483552905</v>
      </c>
      <c r="D19" s="204">
        <f>+Inputs!B$25</f>
        <v>7.4</v>
      </c>
      <c r="E19" s="205">
        <f t="shared" si="0"/>
        <v>504648.15518314735</v>
      </c>
    </row>
    <row r="20" spans="1:5" ht="12">
      <c r="A20" s="188">
        <v>16</v>
      </c>
      <c r="B20" s="206">
        <v>2036</v>
      </c>
      <c r="C20" s="203">
        <f>'Avoided Truck Miles'!Y21</f>
        <v>3734396.3483552905</v>
      </c>
      <c r="D20" s="204">
        <f>+Inputs!B$25</f>
        <v>7.4</v>
      </c>
      <c r="E20" s="205">
        <f t="shared" si="0"/>
        <v>504648.15518314735</v>
      </c>
    </row>
    <row r="21" spans="1:5" ht="12">
      <c r="A21" s="188">
        <v>17</v>
      </c>
      <c r="B21" s="206">
        <v>2037</v>
      </c>
      <c r="C21" s="203">
        <f>'Avoided Truck Miles'!Y22</f>
        <v>3734396.3483552905</v>
      </c>
      <c r="D21" s="204">
        <f>+Inputs!B$25</f>
        <v>7.4</v>
      </c>
      <c r="E21" s="205">
        <f t="shared" si="0"/>
        <v>504648.15518314735</v>
      </c>
    </row>
    <row r="22" spans="1:5" ht="12">
      <c r="A22" s="188">
        <v>18</v>
      </c>
      <c r="B22" s="206">
        <v>2038</v>
      </c>
      <c r="C22" s="203">
        <f>'Avoided Truck Miles'!Y23</f>
        <v>3734396.3483552905</v>
      </c>
      <c r="D22" s="204">
        <f>+Inputs!B$25</f>
        <v>7.4</v>
      </c>
      <c r="E22" s="205">
        <f t="shared" si="0"/>
        <v>504648.15518314735</v>
      </c>
    </row>
    <row r="23" spans="1:7" ht="12">
      <c r="A23" s="188">
        <v>19</v>
      </c>
      <c r="B23" s="206">
        <v>2039</v>
      </c>
      <c r="C23" s="203">
        <f>'Avoided Truck Miles'!Y24</f>
        <v>3734396.3483552905</v>
      </c>
      <c r="D23" s="204">
        <f>+Inputs!B$25</f>
        <v>7.4</v>
      </c>
      <c r="E23" s="205">
        <f t="shared" si="0"/>
        <v>504648.15518314735</v>
      </c>
      <c r="F23" s="99"/>
      <c r="G23" s="99"/>
    </row>
    <row r="24" spans="1:7" ht="12">
      <c r="A24" s="188">
        <v>20</v>
      </c>
      <c r="B24" s="206">
        <v>2040</v>
      </c>
      <c r="C24" s="203">
        <f>'Avoided Truck Miles'!Y25</f>
        <v>3734396.3483552905</v>
      </c>
      <c r="D24" s="204">
        <f>+Inputs!B$25</f>
        <v>7.4</v>
      </c>
      <c r="E24" s="205">
        <f t="shared" si="0"/>
        <v>504648.15518314735</v>
      </c>
      <c r="F24" s="99"/>
      <c r="G24" s="99"/>
    </row>
    <row r="25" spans="1:7" ht="12">
      <c r="A25" s="188">
        <v>21</v>
      </c>
      <c r="B25" s="206">
        <v>2041</v>
      </c>
      <c r="C25" s="203">
        <f>'Avoided Truck Miles'!Y26</f>
        <v>3734396.3483552905</v>
      </c>
      <c r="D25" s="204">
        <f>+Inputs!B$25</f>
        <v>7.4</v>
      </c>
      <c r="E25" s="205">
        <f t="shared" si="0"/>
        <v>504648.15518314735</v>
      </c>
      <c r="F25" s="99"/>
      <c r="G25" s="99"/>
    </row>
    <row r="26" spans="1:7" ht="12">
      <c r="A26" s="188">
        <v>22</v>
      </c>
      <c r="B26" s="206">
        <v>2042</v>
      </c>
      <c r="C26" s="203">
        <f>'Avoided Truck Miles'!Y27</f>
        <v>3734396.3483552905</v>
      </c>
      <c r="D26" s="204">
        <f>+Inputs!B$25</f>
        <v>7.4</v>
      </c>
      <c r="E26" s="205">
        <f t="shared" si="0"/>
        <v>504648.15518314735</v>
      </c>
      <c r="F26" s="99"/>
      <c r="G26" s="99"/>
    </row>
    <row r="27" spans="1:7" ht="12">
      <c r="A27" s="188">
        <v>23</v>
      </c>
      <c r="B27" s="206">
        <v>2043</v>
      </c>
      <c r="C27" s="203">
        <f>'Avoided Truck Miles'!Y28</f>
        <v>3734396.3483552905</v>
      </c>
      <c r="D27" s="204">
        <f>+Inputs!B$25</f>
        <v>7.4</v>
      </c>
      <c r="E27" s="205">
        <f t="shared" si="0"/>
        <v>504648.15518314735</v>
      </c>
      <c r="F27" s="99"/>
      <c r="G27" s="99"/>
    </row>
    <row r="28" spans="1:7" ht="12">
      <c r="A28" s="188">
        <v>24</v>
      </c>
      <c r="B28" s="206">
        <v>2044</v>
      </c>
      <c r="C28" s="203">
        <f>'Avoided Truck Miles'!Y29</f>
        <v>3734396.3483552905</v>
      </c>
      <c r="D28" s="204">
        <f>+Inputs!B$25</f>
        <v>7.4</v>
      </c>
      <c r="E28" s="205">
        <f t="shared" si="0"/>
        <v>504648.15518314735</v>
      </c>
      <c r="F28" s="99"/>
      <c r="G28" s="99"/>
    </row>
    <row r="29" spans="1:7" ht="12">
      <c r="A29" s="188">
        <v>25</v>
      </c>
      <c r="B29" s="206">
        <v>2045</v>
      </c>
      <c r="C29" s="203">
        <f>'Avoided Truck Miles'!Y30</f>
        <v>3734396.3483552905</v>
      </c>
      <c r="D29" s="204">
        <f>+Inputs!B$25</f>
        <v>7.4</v>
      </c>
      <c r="E29" s="205">
        <f t="shared" si="0"/>
        <v>504648.15518314735</v>
      </c>
      <c r="F29" s="99"/>
      <c r="G29" s="99"/>
    </row>
    <row r="30" spans="1:7" ht="12">
      <c r="A30" s="188">
        <v>26</v>
      </c>
      <c r="B30" s="206">
        <v>2046</v>
      </c>
      <c r="C30" s="203">
        <f>'Avoided Truck Miles'!Y31</f>
        <v>3734396.3483552905</v>
      </c>
      <c r="D30" s="204">
        <f>+Inputs!B$25</f>
        <v>7.4</v>
      </c>
      <c r="E30" s="205">
        <f t="shared" si="0"/>
        <v>504648.15518314735</v>
      </c>
      <c r="F30" s="99"/>
      <c r="G30" s="99"/>
    </row>
    <row r="31" spans="1:7" ht="12">
      <c r="A31" s="188">
        <v>27</v>
      </c>
      <c r="B31" s="206">
        <v>2047</v>
      </c>
      <c r="C31" s="203">
        <f>'Avoided Truck Miles'!Y32</f>
        <v>3734396.3483552905</v>
      </c>
      <c r="D31" s="204">
        <f>+Inputs!B$25</f>
        <v>7.4</v>
      </c>
      <c r="E31" s="205">
        <f t="shared" si="0"/>
        <v>504648.15518314735</v>
      </c>
      <c r="F31" s="99"/>
      <c r="G31" s="99"/>
    </row>
    <row r="32" spans="1:7" ht="12">
      <c r="A32" s="188">
        <v>28</v>
      </c>
      <c r="B32" s="206">
        <v>2048</v>
      </c>
      <c r="C32" s="203">
        <f>'Avoided Truck Miles'!Y33</f>
        <v>3734396.3483552905</v>
      </c>
      <c r="D32" s="204">
        <f>+Inputs!B$25</f>
        <v>7.4</v>
      </c>
      <c r="E32" s="205">
        <f t="shared" si="0"/>
        <v>504648.15518314735</v>
      </c>
      <c r="F32" s="99"/>
      <c r="G32" s="99"/>
    </row>
    <row r="33" spans="1:7" ht="12">
      <c r="A33" s="188">
        <v>29</v>
      </c>
      <c r="B33" s="206">
        <v>2049</v>
      </c>
      <c r="C33" s="203">
        <f>'Avoided Truck Miles'!Y34</f>
        <v>3734396.3483552905</v>
      </c>
      <c r="D33" s="204">
        <f>+Inputs!B$25</f>
        <v>7.4</v>
      </c>
      <c r="E33" s="205">
        <f t="shared" si="0"/>
        <v>504648.15518314735</v>
      </c>
      <c r="F33" s="99"/>
      <c r="G33" s="99"/>
    </row>
    <row r="34" spans="1:7" ht="12">
      <c r="A34" s="471">
        <v>30</v>
      </c>
      <c r="B34" s="472">
        <v>2050</v>
      </c>
      <c r="C34" s="203">
        <f>'Avoided Truck Miles'!Y35</f>
        <v>3734358.8189435257</v>
      </c>
      <c r="D34" s="204">
        <f>+Inputs!B$25</f>
        <v>7.4</v>
      </c>
      <c r="E34" s="205">
        <f>C34/D34</f>
        <v>504643.083641017</v>
      </c>
      <c r="F34" s="99"/>
      <c r="G34" s="99"/>
    </row>
    <row r="35" spans="1:7" ht="12.75" thickBot="1">
      <c r="A35" s="207"/>
      <c r="B35" s="208" t="s">
        <v>0</v>
      </c>
      <c r="C35" s="209">
        <f>SUM(C5:C34)</f>
        <v>112671227.921247</v>
      </c>
      <c r="D35" s="209"/>
      <c r="E35" s="210">
        <f>SUM(E5:E34)</f>
        <v>15225841.610979322</v>
      </c>
      <c r="F35" s="99"/>
      <c r="G35" s="99"/>
    </row>
    <row r="36" spans="6:7" ht="12">
      <c r="F36" s="99"/>
      <c r="G36" s="99"/>
    </row>
    <row r="37" spans="3:7" ht="12">
      <c r="C37" s="109"/>
      <c r="F37" s="99"/>
      <c r="G37" s="99"/>
    </row>
  </sheetData>
  <sheetProtection/>
  <printOptions/>
  <pageMargins left="0.75" right="0.75" top="1" bottom="1" header="0.5" footer="0.5"/>
  <pageSetup horizontalDpi="90" verticalDpi="90" orientation="portrait" r:id="rId1"/>
</worksheet>
</file>

<file path=xl/worksheets/sheet11.xml><?xml version="1.0" encoding="utf-8"?>
<worksheet xmlns="http://schemas.openxmlformats.org/spreadsheetml/2006/main" xmlns:r="http://schemas.openxmlformats.org/officeDocument/2006/relationships">
  <dimension ref="A1:AZ73"/>
  <sheetViews>
    <sheetView zoomScalePageLayoutView="0" workbookViewId="0" topLeftCell="A1">
      <selection activeCell="AW5" sqref="AW5"/>
    </sheetView>
  </sheetViews>
  <sheetFormatPr defaultColWidth="9.140625" defaultRowHeight="12.75"/>
  <cols>
    <col min="1" max="2" width="9.140625" style="133" customWidth="1"/>
    <col min="3" max="16" width="12.7109375" style="80" hidden="1" customWidth="1"/>
    <col min="17" max="17" width="9.140625" style="99" hidden="1" customWidth="1"/>
    <col min="18" max="21" width="9.140625" style="80" hidden="1" customWidth="1"/>
    <col min="22" max="22" width="9.140625" style="99" hidden="1" customWidth="1"/>
    <col min="23" max="30" width="9.140625" style="80" hidden="1" customWidth="1"/>
    <col min="31" max="31" width="11.421875" style="80" hidden="1" customWidth="1"/>
    <col min="32" max="35" width="9.140625" style="80" hidden="1" customWidth="1"/>
    <col min="36" max="36" width="10.7109375" style="80" hidden="1" customWidth="1"/>
    <col min="37" max="41" width="9.140625" style="80" hidden="1" customWidth="1"/>
    <col min="42" max="42" width="9.00390625" style="80" hidden="1" customWidth="1"/>
    <col min="43" max="48" width="9.140625" style="80" hidden="1" customWidth="1"/>
    <col min="49" max="16384" width="9.140625" style="80" customWidth="1"/>
  </cols>
  <sheetData>
    <row r="1" spans="1:52" ht="13.5" customHeight="1" thickBot="1">
      <c r="A1" s="635" t="s">
        <v>64</v>
      </c>
      <c r="B1" s="633" t="s">
        <v>1</v>
      </c>
      <c r="C1" s="627" t="s">
        <v>444</v>
      </c>
      <c r="D1" s="628"/>
      <c r="E1" s="628"/>
      <c r="F1" s="628"/>
      <c r="G1" s="628"/>
      <c r="H1" s="628"/>
      <c r="I1" s="628"/>
      <c r="J1" s="628"/>
      <c r="K1" s="628"/>
      <c r="L1" s="628"/>
      <c r="M1" s="628"/>
      <c r="N1" s="628"/>
      <c r="O1" s="628"/>
      <c r="P1" s="629"/>
      <c r="Q1" s="627" t="s">
        <v>445</v>
      </c>
      <c r="R1" s="628"/>
      <c r="S1" s="628"/>
      <c r="T1" s="628"/>
      <c r="U1" s="628"/>
      <c r="V1" s="628"/>
      <c r="W1" s="628"/>
      <c r="X1" s="628"/>
      <c r="Y1" s="628"/>
      <c r="Z1" s="628"/>
      <c r="AA1" s="628"/>
      <c r="AB1" s="628"/>
      <c r="AC1" s="628"/>
      <c r="AD1" s="628"/>
      <c r="AE1" s="630" t="s">
        <v>446</v>
      </c>
      <c r="AF1" s="631"/>
      <c r="AG1" s="631"/>
      <c r="AH1" s="631"/>
      <c r="AI1" s="631"/>
      <c r="AJ1" s="631"/>
      <c r="AK1" s="631"/>
      <c r="AL1" s="631"/>
      <c r="AM1" s="631"/>
      <c r="AN1" s="631"/>
      <c r="AO1" s="631"/>
      <c r="AP1" s="631"/>
      <c r="AQ1" s="631"/>
      <c r="AR1" s="631"/>
      <c r="AS1" s="631"/>
      <c r="AT1" s="631"/>
      <c r="AU1" s="631"/>
      <c r="AV1" s="632"/>
      <c r="AW1" s="624" t="s">
        <v>135</v>
      </c>
      <c r="AX1" s="625"/>
      <c r="AY1" s="625"/>
      <c r="AZ1" s="626"/>
    </row>
    <row r="2" spans="1:52" s="213" customFormat="1" ht="48">
      <c r="A2" s="636"/>
      <c r="B2" s="634"/>
      <c r="C2" s="212" t="s">
        <v>87</v>
      </c>
      <c r="D2" s="157" t="s">
        <v>192</v>
      </c>
      <c r="E2" s="157" t="s">
        <v>193</v>
      </c>
      <c r="F2" s="157" t="s">
        <v>194</v>
      </c>
      <c r="G2" s="157" t="s">
        <v>195</v>
      </c>
      <c r="H2" s="422" t="s">
        <v>142</v>
      </c>
      <c r="I2" s="157" t="s">
        <v>196</v>
      </c>
      <c r="J2" s="157" t="s">
        <v>197</v>
      </c>
      <c r="K2" s="157" t="s">
        <v>198</v>
      </c>
      <c r="L2" s="157" t="s">
        <v>199</v>
      </c>
      <c r="M2" s="157" t="s">
        <v>200</v>
      </c>
      <c r="N2" s="157" t="s">
        <v>201</v>
      </c>
      <c r="O2" s="157" t="s">
        <v>202</v>
      </c>
      <c r="P2" s="158" t="s">
        <v>203</v>
      </c>
      <c r="Q2" s="485" t="s">
        <v>87</v>
      </c>
      <c r="R2" s="157" t="s">
        <v>192</v>
      </c>
      <c r="S2" s="157" t="s">
        <v>193</v>
      </c>
      <c r="T2" s="157" t="s">
        <v>194</v>
      </c>
      <c r="U2" s="157" t="s">
        <v>195</v>
      </c>
      <c r="V2" s="486" t="s">
        <v>142</v>
      </c>
      <c r="W2" s="157" t="s">
        <v>196</v>
      </c>
      <c r="X2" s="157" t="s">
        <v>197</v>
      </c>
      <c r="Y2" s="157" t="s">
        <v>198</v>
      </c>
      <c r="Z2" s="157" t="s">
        <v>199</v>
      </c>
      <c r="AA2" s="157" t="s">
        <v>200</v>
      </c>
      <c r="AB2" s="157" t="s">
        <v>201</v>
      </c>
      <c r="AC2" s="157" t="s">
        <v>202</v>
      </c>
      <c r="AD2" s="423" t="s">
        <v>203</v>
      </c>
      <c r="AE2" s="429" t="s">
        <v>87</v>
      </c>
      <c r="AF2" s="164" t="s">
        <v>192</v>
      </c>
      <c r="AG2" s="164" t="s">
        <v>193</v>
      </c>
      <c r="AH2" s="164" t="s">
        <v>194</v>
      </c>
      <c r="AI2" s="164" t="s">
        <v>195</v>
      </c>
      <c r="AJ2" s="430" t="s">
        <v>142</v>
      </c>
      <c r="AK2" s="164" t="s">
        <v>196</v>
      </c>
      <c r="AL2" s="164" t="s">
        <v>447</v>
      </c>
      <c r="AM2" s="164" t="s">
        <v>198</v>
      </c>
      <c r="AN2" s="164" t="s">
        <v>199</v>
      </c>
      <c r="AO2" s="164" t="s">
        <v>453</v>
      </c>
      <c r="AP2" s="164" t="s">
        <v>454</v>
      </c>
      <c r="AQ2" s="164" t="s">
        <v>448</v>
      </c>
      <c r="AR2" s="164" t="s">
        <v>449</v>
      </c>
      <c r="AS2" s="164" t="s">
        <v>200</v>
      </c>
      <c r="AT2" s="164" t="s">
        <v>201</v>
      </c>
      <c r="AU2" s="164" t="s">
        <v>202</v>
      </c>
      <c r="AV2" s="431" t="s">
        <v>203</v>
      </c>
      <c r="AW2" s="164" t="s">
        <v>200</v>
      </c>
      <c r="AX2" s="164" t="s">
        <v>201</v>
      </c>
      <c r="AY2" s="164" t="s">
        <v>202</v>
      </c>
      <c r="AZ2" s="431" t="s">
        <v>203</v>
      </c>
    </row>
    <row r="3" spans="1:52" ht="12">
      <c r="A3" s="169">
        <v>-2</v>
      </c>
      <c r="B3" s="427">
        <v>2018</v>
      </c>
      <c r="C3" s="211">
        <f>'Avoided Truck Miles'!F3</f>
        <v>256598.2733683122</v>
      </c>
      <c r="D3" s="203">
        <f>(C3*Inputs!$B$61)/907185</f>
        <v>2.599684442013655</v>
      </c>
      <c r="E3" s="203">
        <f>(C3*Inputs!$B$58)/907185</f>
        <v>0.12869724960463638</v>
      </c>
      <c r="F3" s="203">
        <f>(C3*Inputs!$B$60)/907185</f>
        <v>0.6774283797870421</v>
      </c>
      <c r="G3" s="203">
        <f>(C3*Inputs!$B$62)/907185</f>
        <v>0.060812986076916084</v>
      </c>
      <c r="H3" s="203">
        <f>'Avoided Truck Miles'!G3</f>
        <v>256598.2733683122</v>
      </c>
      <c r="I3" s="203">
        <f>(H3*Inputs!$B$61)/907185</f>
        <v>2.599684442013655</v>
      </c>
      <c r="J3" s="203">
        <f>(H3*Inputs!$B$58)/907185</f>
        <v>0.12869724960463638</v>
      </c>
      <c r="K3" s="203">
        <f>(H3*Inputs!$B$60)/907185</f>
        <v>0.6774283797870421</v>
      </c>
      <c r="L3" s="203">
        <f>(H3*Inputs!$B$62)/907185</f>
        <v>0.060812986076916084</v>
      </c>
      <c r="M3" s="203">
        <v>0</v>
      </c>
      <c r="N3" s="203">
        <v>0</v>
      </c>
      <c r="O3" s="203">
        <v>0</v>
      </c>
      <c r="P3" s="205">
        <v>0</v>
      </c>
      <c r="Q3" s="211">
        <f>'Avoided Truck Miles'!P3</f>
        <v>53</v>
      </c>
      <c r="R3" s="203">
        <f>(Q3*Inputs!$B$61)/907185</f>
        <v>0.0005369610388178817</v>
      </c>
      <c r="S3" s="203">
        <f>(Q3*Inputs!$B$58)/907185</f>
        <v>2.6582229644449592E-05</v>
      </c>
      <c r="T3" s="203">
        <f>(Q3*Inputs!$B$60)/907185</f>
        <v>0.00013992184615045444</v>
      </c>
      <c r="U3" s="203">
        <f>(Q3*Inputs!$B$62)/907185</f>
        <v>1.2560833788036618E-05</v>
      </c>
      <c r="V3" s="203">
        <f>'Avoided Truck Miles'!Q3</f>
        <v>53</v>
      </c>
      <c r="W3" s="203">
        <f aca="true" t="shared" si="0" ref="W3:Z4">R3</f>
        <v>0.0005369610388178817</v>
      </c>
      <c r="X3" s="203">
        <f t="shared" si="0"/>
        <v>2.6582229644449592E-05</v>
      </c>
      <c r="Y3" s="203">
        <f t="shared" si="0"/>
        <v>0.00013992184615045444</v>
      </c>
      <c r="Z3" s="203">
        <f t="shared" si="0"/>
        <v>1.2560833788036618E-05</v>
      </c>
      <c r="AA3" s="203">
        <v>0</v>
      </c>
      <c r="AB3" s="203">
        <f>S3-X3</f>
        <v>0</v>
      </c>
      <c r="AC3" s="203">
        <f>T3-Y3</f>
        <v>0</v>
      </c>
      <c r="AD3" s="424">
        <f>U3-Z3</f>
        <v>0</v>
      </c>
      <c r="AE3" s="211">
        <f>'Avoided Truck Miles'!X3</f>
        <v>0</v>
      </c>
      <c r="AF3" s="203">
        <f>(AE3*Inputs!$B$61)/907185</f>
        <v>0</v>
      </c>
      <c r="AG3" s="203">
        <f>(AE3*Inputs!$B$58)/907185</f>
        <v>0</v>
      </c>
      <c r="AH3" s="203">
        <f>(AE3*Inputs!$B$60)/907185</f>
        <v>0</v>
      </c>
      <c r="AI3" s="203">
        <f>(AE3*Inputs!$B$62)/907185</f>
        <v>0</v>
      </c>
      <c r="AJ3" s="203">
        <f>'Avoided Truck Miles'!W3</f>
        <v>0</v>
      </c>
      <c r="AK3" s="203">
        <f>(AJ3*Inputs!$B$61)/907185</f>
        <v>0</v>
      </c>
      <c r="AL3" s="203">
        <f>(AJ3*Inputs!$B$58)/907185</f>
        <v>0</v>
      </c>
      <c r="AM3" s="203">
        <f>(AJ3*Inputs!$B$60)/907185</f>
        <v>0</v>
      </c>
      <c r="AN3" s="203">
        <f>(AJ3*Inputs!$B$62)/907185</f>
        <v>0</v>
      </c>
      <c r="AO3" s="203">
        <f>'Avoided Truck Miles'!T3/(100*100)</f>
        <v>0</v>
      </c>
      <c r="AP3" s="203">
        <f>AO3*Inputs!$B$18</f>
        <v>0</v>
      </c>
      <c r="AQ3" s="203">
        <f>(AP3*Inputs!$B$68)/907185</f>
        <v>0</v>
      </c>
      <c r="AR3" s="203">
        <f>(AP3*Inputs!$B$69)/907185</f>
        <v>0</v>
      </c>
      <c r="AS3" s="203">
        <v>0</v>
      </c>
      <c r="AT3" s="203">
        <v>0</v>
      </c>
      <c r="AU3" s="203">
        <v>0</v>
      </c>
      <c r="AV3" s="205">
        <v>0</v>
      </c>
      <c r="AW3" s="203">
        <f>M3+AA3+AS3</f>
        <v>0</v>
      </c>
      <c r="AX3" s="203">
        <f>N3+AB3+AT3</f>
        <v>0</v>
      </c>
      <c r="AY3" s="203">
        <f>O3+AC3+AU3</f>
        <v>0</v>
      </c>
      <c r="AZ3" s="205">
        <f>P3+AD3+AV3</f>
        <v>0</v>
      </c>
    </row>
    <row r="4" spans="1:52" ht="12">
      <c r="A4" s="169">
        <v>-1</v>
      </c>
      <c r="B4" s="428">
        <v>2019</v>
      </c>
      <c r="C4" s="211">
        <f>'Avoided Truck Miles'!F4</f>
        <v>279005.0058857114</v>
      </c>
      <c r="D4" s="203">
        <f>(C4*Inputs!$B$61)/907185</f>
        <v>2.8266946753920905</v>
      </c>
      <c r="E4" s="203">
        <f>(C4*Inputs!$B$58)/907185</f>
        <v>0.13993537996990546</v>
      </c>
      <c r="F4" s="203">
        <f>(C4*Inputs!$B$60)/907185</f>
        <v>0.7365829341273046</v>
      </c>
      <c r="G4" s="203">
        <f>(C4*Inputs!$B$62)/907185</f>
        <v>0.06612331141435093</v>
      </c>
      <c r="H4" s="203">
        <f>'Avoided Truck Miles'!G4</f>
        <v>279005.0058857114</v>
      </c>
      <c r="I4" s="203">
        <f>(H4*Inputs!$B$61)/907185</f>
        <v>2.8266946753920905</v>
      </c>
      <c r="J4" s="203">
        <f>(H4*Inputs!$B$58)/907185</f>
        <v>0.13993537996990546</v>
      </c>
      <c r="K4" s="203">
        <f>(H4*Inputs!$B$60)/907185</f>
        <v>0.7365829341273046</v>
      </c>
      <c r="L4" s="203">
        <f>(H4*Inputs!$B$62)/907185</f>
        <v>0.06612331141435093</v>
      </c>
      <c r="M4" s="203">
        <v>0</v>
      </c>
      <c r="N4" s="203">
        <v>0</v>
      </c>
      <c r="O4" s="203">
        <v>0</v>
      </c>
      <c r="P4" s="205">
        <v>0</v>
      </c>
      <c r="Q4" s="211">
        <f>'Avoided Truck Miles'!P4</f>
        <v>53</v>
      </c>
      <c r="R4" s="203">
        <f>(Q4*Inputs!$B$61)/907185</f>
        <v>0.0005369610388178817</v>
      </c>
      <c r="S4" s="203">
        <f>(Q4*Inputs!$B$58)/907185</f>
        <v>2.6582229644449592E-05</v>
      </c>
      <c r="T4" s="203">
        <f>(Q4*Inputs!$B$60)/907185</f>
        <v>0.00013992184615045444</v>
      </c>
      <c r="U4" s="203">
        <f>(Q4*Inputs!$B$62)/907185</f>
        <v>1.2560833788036618E-05</v>
      </c>
      <c r="V4" s="203">
        <f>'Avoided Truck Miles'!Q4</f>
        <v>53</v>
      </c>
      <c r="W4" s="203">
        <f t="shared" si="0"/>
        <v>0.0005369610388178817</v>
      </c>
      <c r="X4" s="203">
        <f t="shared" si="0"/>
        <v>2.6582229644449592E-05</v>
      </c>
      <c r="Y4" s="203">
        <f t="shared" si="0"/>
        <v>0.00013992184615045444</v>
      </c>
      <c r="Z4" s="203">
        <f t="shared" si="0"/>
        <v>1.2560833788036618E-05</v>
      </c>
      <c r="AA4" s="203">
        <v>0</v>
      </c>
      <c r="AB4" s="203">
        <f aca="true" t="shared" si="1" ref="AB4:AB34">S4-X4</f>
        <v>0</v>
      </c>
      <c r="AC4" s="203">
        <f aca="true" t="shared" si="2" ref="AC4:AC34">T4-Y4</f>
        <v>0</v>
      </c>
      <c r="AD4" s="424">
        <f aca="true" t="shared" si="3" ref="AD4:AD34">U4-Z4</f>
        <v>0</v>
      </c>
      <c r="AE4" s="211">
        <f>'Avoided Truck Miles'!X4</f>
        <v>0</v>
      </c>
      <c r="AF4" s="203">
        <f>(AE4*Inputs!$B$61)/907185</f>
        <v>0</v>
      </c>
      <c r="AG4" s="203">
        <f>(AE4*Inputs!$B$58)/907185</f>
        <v>0</v>
      </c>
      <c r="AH4" s="203">
        <f>(AE4*Inputs!$B$60)/907185</f>
        <v>0</v>
      </c>
      <c r="AI4" s="203">
        <f>(AE4*Inputs!$B$62)/907185</f>
        <v>0</v>
      </c>
      <c r="AJ4" s="203">
        <f>'Avoided Truck Miles'!W4</f>
        <v>0</v>
      </c>
      <c r="AK4" s="203">
        <f>(AJ4*Inputs!$B$61)/907185</f>
        <v>0</v>
      </c>
      <c r="AL4" s="203">
        <f>(AJ4*Inputs!$B$58)/907185</f>
        <v>0</v>
      </c>
      <c r="AM4" s="203">
        <f>(AJ4*Inputs!$B$60)/907185</f>
        <v>0</v>
      </c>
      <c r="AN4" s="203">
        <f>(AJ4*Inputs!$B$62)/907185</f>
        <v>0</v>
      </c>
      <c r="AO4" s="203">
        <f>'Avoided Truck Miles'!T4/(100*100)</f>
        <v>0</v>
      </c>
      <c r="AP4" s="203">
        <f>AO4*Inputs!$B$18</f>
        <v>0</v>
      </c>
      <c r="AQ4" s="203">
        <f>(AP4*Inputs!$B$68)/907185</f>
        <v>0</v>
      </c>
      <c r="AR4" s="203">
        <f>(AP4*Inputs!$B$69)/907185</f>
        <v>0</v>
      </c>
      <c r="AS4" s="203">
        <v>0</v>
      </c>
      <c r="AT4" s="203">
        <v>0</v>
      </c>
      <c r="AU4" s="203">
        <v>0</v>
      </c>
      <c r="AV4" s="205">
        <v>0</v>
      </c>
      <c r="AW4" s="203">
        <f aca="true" t="shared" si="4" ref="AW4:AW34">M4+AA4+AS4</f>
        <v>0</v>
      </c>
      <c r="AX4" s="203">
        <f aca="true" t="shared" si="5" ref="AX4:AX34">N4+AB4+AT4</f>
        <v>0</v>
      </c>
      <c r="AY4" s="203">
        <f aca="true" t="shared" si="6" ref="AY4:AY34">O4+AC4+AU4</f>
        <v>0</v>
      </c>
      <c r="AZ4" s="205">
        <f aca="true" t="shared" si="7" ref="AZ4:AZ34">P4+AD4+AV4</f>
        <v>0</v>
      </c>
    </row>
    <row r="5" spans="1:52" ht="12">
      <c r="A5" s="169">
        <v>0</v>
      </c>
      <c r="B5" s="428">
        <v>2020</v>
      </c>
      <c r="C5" s="211">
        <f>'Avoided Truck Miles'!F5</f>
        <v>303368.34417257196</v>
      </c>
      <c r="D5" s="203">
        <f>(C5*Inputs!$B$61)/907185</f>
        <v>3.0735279477616024</v>
      </c>
      <c r="E5" s="203">
        <f>(C5*Inputs!$B$58)/907185</f>
        <v>0.1521548488990892</v>
      </c>
      <c r="F5" s="203">
        <f>(C5*Inputs!$B$60)/907185</f>
        <v>0.8009029958534476</v>
      </c>
      <c r="G5" s="203">
        <f>(C5*Inputs!$B$62)/907185</f>
        <v>0.0718973461830861</v>
      </c>
      <c r="H5" s="203">
        <f>'Avoided Truck Miles'!G5</f>
        <v>303368.34417257196</v>
      </c>
      <c r="I5" s="203">
        <f>(H5*Inputs!$B$61)/907185</f>
        <v>3.0735279477616024</v>
      </c>
      <c r="J5" s="203">
        <f>(H5*Inputs!$B$58)/907185</f>
        <v>0.1521548488990892</v>
      </c>
      <c r="K5" s="203">
        <f>(H5*Inputs!$B$60)/907185</f>
        <v>0.8009029958534476</v>
      </c>
      <c r="L5" s="203">
        <f>(H5*Inputs!$B$62)/907185</f>
        <v>0.0718973461830861</v>
      </c>
      <c r="M5" s="203">
        <v>0</v>
      </c>
      <c r="N5" s="203">
        <v>0</v>
      </c>
      <c r="O5" s="203">
        <v>0</v>
      </c>
      <c r="P5" s="205">
        <v>0</v>
      </c>
      <c r="Q5" s="211">
        <f>'Avoided Truck Miles'!P5</f>
        <v>53</v>
      </c>
      <c r="R5" s="203">
        <f>(Q5*Inputs!$B$61)/907185</f>
        <v>0.0005369610388178817</v>
      </c>
      <c r="S5" s="203">
        <f>(Q5*Inputs!$B$58)/907185</f>
        <v>2.6582229644449592E-05</v>
      </c>
      <c r="T5" s="203">
        <f>(Q5*Inputs!$B$60)/907185</f>
        <v>0.00013992184615045444</v>
      </c>
      <c r="U5" s="203">
        <f>(Q5*Inputs!$B$62)/907185</f>
        <v>1.2560833788036618E-05</v>
      </c>
      <c r="V5" s="203">
        <f>'Avoided Truck Miles'!Q5</f>
        <v>53</v>
      </c>
      <c r="W5" s="203">
        <f>(V5*Inputs!$B$66)/907185</f>
        <v>0.0006420630852582439</v>
      </c>
      <c r="X5" s="203">
        <f>(V5*Inputs!$B$63)/907185</f>
        <v>3.184025309060446E-05</v>
      </c>
      <c r="Y5" s="203">
        <f>(V5*Inputs!$B$65)/907185</f>
        <v>0.000181635498823283</v>
      </c>
      <c r="Z5" s="203">
        <f>(V5*Inputs!$B$67)/907185</f>
        <v>1.3904550890942861E-05</v>
      </c>
      <c r="AA5" s="203">
        <v>0</v>
      </c>
      <c r="AB5" s="203">
        <f t="shared" si="1"/>
        <v>-5.258023446154865E-06</v>
      </c>
      <c r="AC5" s="203">
        <f t="shared" si="2"/>
        <v>-4.171365267282857E-05</v>
      </c>
      <c r="AD5" s="424">
        <f t="shared" si="3"/>
        <v>-1.343717102906243E-06</v>
      </c>
      <c r="AE5" s="211">
        <f>'Avoided Truck Miles'!X5</f>
        <v>0</v>
      </c>
      <c r="AF5" s="203">
        <f>(AE5*Inputs!$B$61)/907185</f>
        <v>0</v>
      </c>
      <c r="AG5" s="203">
        <f>(AE5*Inputs!$B$58)/907185</f>
        <v>0</v>
      </c>
      <c r="AH5" s="203">
        <f>(AE5*Inputs!$B$60)/907185</f>
        <v>0</v>
      </c>
      <c r="AI5" s="203">
        <f>(AE5*Inputs!$B$62)/907185</f>
        <v>0</v>
      </c>
      <c r="AJ5" s="203">
        <f>'Avoided Truck Miles'!W5</f>
        <v>0</v>
      </c>
      <c r="AK5" s="203">
        <f>(AJ5*Inputs!$B$61)/907185</f>
        <v>0</v>
      </c>
      <c r="AL5" s="203">
        <f>(AJ5*Inputs!$B$58)/907185</f>
        <v>0</v>
      </c>
      <c r="AM5" s="203">
        <f>(AJ5*Inputs!$B$60)/907185</f>
        <v>0</v>
      </c>
      <c r="AN5" s="203">
        <f>(AJ5*Inputs!$B$62)/907185</f>
        <v>0</v>
      </c>
      <c r="AO5" s="203">
        <f>'Avoided Truck Miles'!T5/(100*100)</f>
        <v>0</v>
      </c>
      <c r="AP5" s="203">
        <f>AO5*Inputs!$B$18</f>
        <v>0</v>
      </c>
      <c r="AQ5" s="203">
        <f>(AP5*Inputs!$B$68)/907185</f>
        <v>0</v>
      </c>
      <c r="AR5" s="203">
        <f>(AP5*Inputs!$B$69)/907185</f>
        <v>0</v>
      </c>
      <c r="AS5" s="203">
        <v>0</v>
      </c>
      <c r="AT5" s="203">
        <v>0</v>
      </c>
      <c r="AU5" s="203">
        <v>0</v>
      </c>
      <c r="AV5" s="205">
        <v>0</v>
      </c>
      <c r="AW5" s="203">
        <f>M5+AA5+AS5</f>
        <v>0</v>
      </c>
      <c r="AX5" s="203">
        <f t="shared" si="5"/>
        <v>-5.258023446154865E-06</v>
      </c>
      <c r="AY5" s="203">
        <f t="shared" si="6"/>
        <v>-4.171365267282857E-05</v>
      </c>
      <c r="AZ5" s="205">
        <f t="shared" si="7"/>
        <v>-1.343717102906243E-06</v>
      </c>
    </row>
    <row r="6" spans="1:52" ht="12">
      <c r="A6" s="169">
        <v>1</v>
      </c>
      <c r="B6" s="428">
        <v>2021</v>
      </c>
      <c r="C6" s="214">
        <f>'Avoided Truck Miles'!F6</f>
        <v>329859.1434008436</v>
      </c>
      <c r="D6" s="174">
        <f>(C6*Inputs!$B$61)/907185</f>
        <v>3.3419152510206342</v>
      </c>
      <c r="E6" s="174">
        <f>(C6*Inputs!$B$58)/907185</f>
        <v>0.1654413490604274</v>
      </c>
      <c r="F6" s="174">
        <f>(C6*Inputs!$B$60)/907185</f>
        <v>0.8708396285708212</v>
      </c>
      <c r="G6" s="174">
        <f>(C6*Inputs!$B$62)/907185</f>
        <v>0.0781755825230591</v>
      </c>
      <c r="H6" s="421">
        <f>'Avoided Truck Miles'!G6</f>
        <v>102993.0198745234</v>
      </c>
      <c r="I6" s="174">
        <f>(H6*Inputs!$B$66)/907185</f>
        <v>1.2476984169943421</v>
      </c>
      <c r="J6" s="174">
        <f>(H6*Inputs!$B$63)/907185</f>
        <v>0.061874034327744895</v>
      </c>
      <c r="K6" s="174">
        <f>(H6*Inputs!$B$65)/907185</f>
        <v>0.352965821513686</v>
      </c>
      <c r="L6" s="174">
        <f>(H6*Inputs!$B$67)/907185</f>
        <v>0.027020220495418867</v>
      </c>
      <c r="M6" s="174">
        <f aca="true" t="shared" si="8" ref="M6:M34">D6-I6</f>
        <v>2.094216834026292</v>
      </c>
      <c r="N6" s="174">
        <f aca="true" t="shared" si="9" ref="N6:N34">E6-J6</f>
        <v>0.1035673147326825</v>
      </c>
      <c r="O6" s="174">
        <f aca="true" t="shared" si="10" ref="O6:O34">F6-K6</f>
        <v>0.5178738070571351</v>
      </c>
      <c r="P6" s="215">
        <f aca="true" t="shared" si="11" ref="P6:P34">G6-L6</f>
        <v>0.05115536202764023</v>
      </c>
      <c r="Q6" s="499">
        <f>'Avoided Truck Miles'!P6</f>
        <v>53</v>
      </c>
      <c r="R6" s="174">
        <f>(Q6*Inputs!$B$61)/907185</f>
        <v>0.0005369610388178817</v>
      </c>
      <c r="S6" s="174">
        <f>(Q6*Inputs!$B$58)/907185</f>
        <v>2.6582229644449592E-05</v>
      </c>
      <c r="T6" s="174">
        <f>(Q6*Inputs!$B$60)/907185</f>
        <v>0.00013992184615045444</v>
      </c>
      <c r="U6" s="174">
        <f>(Q6*Inputs!$B$62)/907185</f>
        <v>1.2560833788036618E-05</v>
      </c>
      <c r="V6" s="501">
        <f>'Avoided Truck Miles'!Q6</f>
        <v>25</v>
      </c>
      <c r="W6" s="174">
        <f>(V6*Inputs!$B$66)/907185</f>
        <v>0.00030285994587653014</v>
      </c>
      <c r="X6" s="174">
        <f>(V6*Inputs!$B$63)/907185</f>
        <v>1.5018987306888894E-05</v>
      </c>
      <c r="Y6" s="174">
        <f>(V6*Inputs!$B$65)/907185</f>
        <v>8.567712208645424E-05</v>
      </c>
      <c r="Z6" s="174">
        <f>(V6*Inputs!$B$67)/907185</f>
        <v>6.5587504202560665E-06</v>
      </c>
      <c r="AA6" s="174">
        <f aca="true" t="shared" si="12" ref="AA6:AA34">R6-W6</f>
        <v>0.00023410109294135157</v>
      </c>
      <c r="AB6" s="174">
        <f t="shared" si="1"/>
        <v>1.1563242337560698E-05</v>
      </c>
      <c r="AC6" s="174">
        <f t="shared" si="2"/>
        <v>5.4244724064000195E-05</v>
      </c>
      <c r="AD6" s="425">
        <f t="shared" si="3"/>
        <v>6.002083367780552E-06</v>
      </c>
      <c r="AE6" s="214">
        <f>'Avoided Truck Miles'!X6</f>
        <v>3507502.22482897</v>
      </c>
      <c r="AF6" s="174">
        <f>(AE6*Inputs!$B$61)/907185</f>
        <v>35.53569883585274</v>
      </c>
      <c r="AG6" s="174">
        <f>(AE6*Inputs!$B$58)/907185</f>
        <v>1.759193011675878</v>
      </c>
      <c r="AH6" s="174">
        <f>(AE6*Inputs!$B$60)/907185</f>
        <v>9.259928050469732</v>
      </c>
      <c r="AI6" s="174">
        <f>(AE6*Inputs!$B$62)/907185</f>
        <v>0.8312670274951951</v>
      </c>
      <c r="AJ6" s="421">
        <f>'Avoided Truck Miles'!W6</f>
        <v>0</v>
      </c>
      <c r="AK6" s="174">
        <f>(AJ6*Inputs!$B$61)/907185</f>
        <v>0</v>
      </c>
      <c r="AL6" s="174">
        <f>(AJ6*Inputs!$B$58)/907185</f>
        <v>0</v>
      </c>
      <c r="AM6" s="174">
        <f>(AJ6*Inputs!$B$60)/907185</f>
        <v>0</v>
      </c>
      <c r="AN6" s="174">
        <f>(AJ6*Inputs!$B$62)/907185</f>
        <v>0</v>
      </c>
      <c r="AO6" s="174">
        <f>'Avoided Truck Miles'!T6/(100*100)</f>
        <v>9.346009063023903</v>
      </c>
      <c r="AP6" s="174">
        <f>AO6*Inputs!$B$18</f>
        <v>7009.506797267927</v>
      </c>
      <c r="AQ6" s="174">
        <f>(AP6*Inputs!$B$68)/907185</f>
        <v>0.005046433835911781</v>
      </c>
      <c r="AR6" s="174">
        <f>(AP6*Inputs!$B$69)/907185</f>
        <v>0.0001254809001335242</v>
      </c>
      <c r="AS6" s="174">
        <f aca="true" t="shared" si="13" ref="AS6:AS34">AF6-AK6-AQ6</f>
        <v>35.53065240201683</v>
      </c>
      <c r="AT6" s="174">
        <f aca="true" t="shared" si="14" ref="AT6:AT34">AG6-AL6</f>
        <v>1.759193011675878</v>
      </c>
      <c r="AU6" s="174">
        <f aca="true" t="shared" si="15" ref="AU6:AU34">AH6-AM6</f>
        <v>9.259928050469732</v>
      </c>
      <c r="AV6" s="215">
        <f aca="true" t="shared" si="16" ref="AV6:AV34">AI6-AN6-AR6</f>
        <v>0.8311415465950616</v>
      </c>
      <c r="AW6" s="174">
        <f t="shared" si="4"/>
        <v>37.62510333713606</v>
      </c>
      <c r="AX6" s="174">
        <f t="shared" si="5"/>
        <v>1.862771889650898</v>
      </c>
      <c r="AY6" s="174">
        <f t="shared" si="6"/>
        <v>9.777856102250931</v>
      </c>
      <c r="AZ6" s="215">
        <f t="shared" si="7"/>
        <v>0.8823029107060696</v>
      </c>
    </row>
    <row r="7" spans="1:52" ht="12">
      <c r="A7" s="169">
        <v>2</v>
      </c>
      <c r="B7" s="428">
        <v>2022</v>
      </c>
      <c r="C7" s="214">
        <f>'Avoided Truck Miles'!F7</f>
        <v>329859.1434008436</v>
      </c>
      <c r="D7" s="174">
        <f>(C7*Inputs!$B$61)/907185</f>
        <v>3.3419152510206342</v>
      </c>
      <c r="E7" s="174">
        <f>(C7*Inputs!$B$58)/907185</f>
        <v>0.1654413490604274</v>
      </c>
      <c r="F7" s="174">
        <f>(C7*Inputs!$B$60)/907185</f>
        <v>0.8708396285708212</v>
      </c>
      <c r="G7" s="174">
        <f>(C7*Inputs!$B$62)/907185</f>
        <v>0.0781755825230591</v>
      </c>
      <c r="H7" s="421">
        <f>'Avoided Truck Miles'!G7</f>
        <v>102993.0198745234</v>
      </c>
      <c r="I7" s="174">
        <f>(H7*Inputs!$B$66)/907185</f>
        <v>1.2476984169943421</v>
      </c>
      <c r="J7" s="174">
        <f>(H7*Inputs!$B$63)/907185</f>
        <v>0.061874034327744895</v>
      </c>
      <c r="K7" s="174">
        <f>(H7*Inputs!$B$65)/907185</f>
        <v>0.352965821513686</v>
      </c>
      <c r="L7" s="174">
        <f>(H7*Inputs!$B$67)/907185</f>
        <v>0.027020220495418867</v>
      </c>
      <c r="M7" s="174">
        <f t="shared" si="8"/>
        <v>2.094216834026292</v>
      </c>
      <c r="N7" s="174">
        <f t="shared" si="9"/>
        <v>0.1035673147326825</v>
      </c>
      <c r="O7" s="174">
        <f t="shared" si="10"/>
        <v>0.5178738070571351</v>
      </c>
      <c r="P7" s="215">
        <f t="shared" si="11"/>
        <v>0.05115536202764023</v>
      </c>
      <c r="Q7" s="499">
        <f>'Avoided Truck Miles'!P7</f>
        <v>53</v>
      </c>
      <c r="R7" s="174">
        <f>(Q7*Inputs!$B$61)/907185</f>
        <v>0.0005369610388178817</v>
      </c>
      <c r="S7" s="174">
        <f>(Q7*Inputs!$B$58)/907185</f>
        <v>2.6582229644449592E-05</v>
      </c>
      <c r="T7" s="174">
        <f>(Q7*Inputs!$B$60)/907185</f>
        <v>0.00013992184615045444</v>
      </c>
      <c r="U7" s="174">
        <f>(Q7*Inputs!$B$62)/907185</f>
        <v>1.2560833788036618E-05</v>
      </c>
      <c r="V7" s="501">
        <f>'Avoided Truck Miles'!Q7</f>
        <v>25</v>
      </c>
      <c r="W7" s="174">
        <f>(V7*Inputs!$B$66)/907185</f>
        <v>0.00030285994587653014</v>
      </c>
      <c r="X7" s="174">
        <f>(V7*Inputs!$B$63)/907185</f>
        <v>1.5018987306888894E-05</v>
      </c>
      <c r="Y7" s="174">
        <f>(V7*Inputs!$B$65)/907185</f>
        <v>8.567712208645424E-05</v>
      </c>
      <c r="Z7" s="174">
        <f>(V7*Inputs!$B$67)/907185</f>
        <v>6.5587504202560665E-06</v>
      </c>
      <c r="AA7" s="174">
        <f t="shared" si="12"/>
        <v>0.00023410109294135157</v>
      </c>
      <c r="AB7" s="174">
        <f t="shared" si="1"/>
        <v>1.1563242337560698E-05</v>
      </c>
      <c r="AC7" s="174">
        <f t="shared" si="2"/>
        <v>5.4244724064000195E-05</v>
      </c>
      <c r="AD7" s="425">
        <f t="shared" si="3"/>
        <v>6.002083367780552E-06</v>
      </c>
      <c r="AE7" s="214">
        <f>'Avoided Truck Miles'!X7</f>
        <v>3507502.22482897</v>
      </c>
      <c r="AF7" s="174">
        <f>(AE7*Inputs!$B$61)/907185</f>
        <v>35.53569883585274</v>
      </c>
      <c r="AG7" s="174">
        <f>(AE7*Inputs!$B$58)/907185</f>
        <v>1.759193011675878</v>
      </c>
      <c r="AH7" s="174">
        <f>(AE7*Inputs!$B$60)/907185</f>
        <v>9.259928050469732</v>
      </c>
      <c r="AI7" s="174">
        <f>(AE7*Inputs!$B$62)/907185</f>
        <v>0.8312670274951951</v>
      </c>
      <c r="AJ7" s="421">
        <f>'Avoided Truck Miles'!W7</f>
        <v>0</v>
      </c>
      <c r="AK7" s="174">
        <f>(AJ7*Inputs!$B$61)/907185</f>
        <v>0</v>
      </c>
      <c r="AL7" s="174">
        <f>(AJ7*Inputs!$B$58)/907185</f>
        <v>0</v>
      </c>
      <c r="AM7" s="174">
        <f>(AJ7*Inputs!$B$60)/907185</f>
        <v>0</v>
      </c>
      <c r="AN7" s="174">
        <f>(AJ7*Inputs!$B$62)/907185</f>
        <v>0</v>
      </c>
      <c r="AO7" s="174">
        <f>'Avoided Truck Miles'!T7/(100*100)</f>
        <v>9.346009063023903</v>
      </c>
      <c r="AP7" s="174">
        <f>AO7*Inputs!$B$18</f>
        <v>7009.506797267927</v>
      </c>
      <c r="AQ7" s="174">
        <f>(AP7*Inputs!$B$68)/907185</f>
        <v>0.005046433835911781</v>
      </c>
      <c r="AR7" s="174">
        <f>(AP7*Inputs!$B$69)/907185</f>
        <v>0.0001254809001335242</v>
      </c>
      <c r="AS7" s="174">
        <f t="shared" si="13"/>
        <v>35.53065240201683</v>
      </c>
      <c r="AT7" s="174">
        <f t="shared" si="14"/>
        <v>1.759193011675878</v>
      </c>
      <c r="AU7" s="174">
        <f t="shared" si="15"/>
        <v>9.259928050469732</v>
      </c>
      <c r="AV7" s="215">
        <f t="shared" si="16"/>
        <v>0.8311415465950616</v>
      </c>
      <c r="AW7" s="174">
        <f t="shared" si="4"/>
        <v>37.62510333713606</v>
      </c>
      <c r="AX7" s="174">
        <f t="shared" si="5"/>
        <v>1.862771889650898</v>
      </c>
      <c r="AY7" s="174">
        <f t="shared" si="6"/>
        <v>9.777856102250931</v>
      </c>
      <c r="AZ7" s="215">
        <f t="shared" si="7"/>
        <v>0.8823029107060696</v>
      </c>
    </row>
    <row r="8" spans="1:52" ht="12">
      <c r="A8" s="169">
        <v>3</v>
      </c>
      <c r="B8" s="428">
        <v>2023</v>
      </c>
      <c r="C8" s="214">
        <f>'Avoided Truck Miles'!F8</f>
        <v>329859.1434008436</v>
      </c>
      <c r="D8" s="174">
        <f>(C8*Inputs!$B$61)/907185</f>
        <v>3.3419152510206342</v>
      </c>
      <c r="E8" s="174">
        <f>(C8*Inputs!$B$58)/907185</f>
        <v>0.1654413490604274</v>
      </c>
      <c r="F8" s="174">
        <f>(C8*Inputs!$B$60)/907185</f>
        <v>0.8708396285708212</v>
      </c>
      <c r="G8" s="174">
        <f>(C8*Inputs!$B$62)/907185</f>
        <v>0.0781755825230591</v>
      </c>
      <c r="H8" s="421">
        <f>'Avoided Truck Miles'!G8</f>
        <v>102993.0198745234</v>
      </c>
      <c r="I8" s="174">
        <f>(H8*Inputs!$B$66)/907185</f>
        <v>1.2476984169943421</v>
      </c>
      <c r="J8" s="174">
        <f>(H8*Inputs!$B$63)/907185</f>
        <v>0.061874034327744895</v>
      </c>
      <c r="K8" s="174">
        <f>(H8*Inputs!$B$65)/907185</f>
        <v>0.352965821513686</v>
      </c>
      <c r="L8" s="174">
        <f>(H8*Inputs!$B$67)/907185</f>
        <v>0.027020220495418867</v>
      </c>
      <c r="M8" s="174">
        <f t="shared" si="8"/>
        <v>2.094216834026292</v>
      </c>
      <c r="N8" s="174">
        <f t="shared" si="9"/>
        <v>0.1035673147326825</v>
      </c>
      <c r="O8" s="174">
        <f t="shared" si="10"/>
        <v>0.5178738070571351</v>
      </c>
      <c r="P8" s="215">
        <f t="shared" si="11"/>
        <v>0.05115536202764023</v>
      </c>
      <c r="Q8" s="499">
        <f>'Avoided Truck Miles'!P8</f>
        <v>53</v>
      </c>
      <c r="R8" s="174">
        <f>(Q8*Inputs!$B$61)/907185</f>
        <v>0.0005369610388178817</v>
      </c>
      <c r="S8" s="174">
        <f>(Q8*Inputs!$B$58)/907185</f>
        <v>2.6582229644449592E-05</v>
      </c>
      <c r="T8" s="174">
        <f>(Q8*Inputs!$B$60)/907185</f>
        <v>0.00013992184615045444</v>
      </c>
      <c r="U8" s="174">
        <f>(Q8*Inputs!$B$62)/907185</f>
        <v>1.2560833788036618E-05</v>
      </c>
      <c r="V8" s="501">
        <f>'Avoided Truck Miles'!Q8</f>
        <v>25</v>
      </c>
      <c r="W8" s="174">
        <f>(V8*Inputs!$B$66)/907185</f>
        <v>0.00030285994587653014</v>
      </c>
      <c r="X8" s="174">
        <f>(V8*Inputs!$B$63)/907185</f>
        <v>1.5018987306888894E-05</v>
      </c>
      <c r="Y8" s="174">
        <f>(V8*Inputs!$B$65)/907185</f>
        <v>8.567712208645424E-05</v>
      </c>
      <c r="Z8" s="174">
        <f>(V8*Inputs!$B$67)/907185</f>
        <v>6.5587504202560665E-06</v>
      </c>
      <c r="AA8" s="174">
        <f t="shared" si="12"/>
        <v>0.00023410109294135157</v>
      </c>
      <c r="AB8" s="174">
        <f t="shared" si="1"/>
        <v>1.1563242337560698E-05</v>
      </c>
      <c r="AC8" s="174">
        <f t="shared" si="2"/>
        <v>5.4244724064000195E-05</v>
      </c>
      <c r="AD8" s="425">
        <f t="shared" si="3"/>
        <v>6.002083367780552E-06</v>
      </c>
      <c r="AE8" s="214">
        <f>'Avoided Truck Miles'!X8</f>
        <v>3507502.22482897</v>
      </c>
      <c r="AF8" s="174">
        <f>(AE8*Inputs!$B$61)/907185</f>
        <v>35.53569883585274</v>
      </c>
      <c r="AG8" s="174">
        <f>(AE8*Inputs!$B$58)/907185</f>
        <v>1.759193011675878</v>
      </c>
      <c r="AH8" s="174">
        <f>(AE8*Inputs!$B$60)/907185</f>
        <v>9.259928050469732</v>
      </c>
      <c r="AI8" s="174">
        <f>(AE8*Inputs!$B$62)/907185</f>
        <v>0.8312670274951951</v>
      </c>
      <c r="AJ8" s="421">
        <f>'Avoided Truck Miles'!W8</f>
        <v>0</v>
      </c>
      <c r="AK8" s="174">
        <f>(AJ8*Inputs!$B$61)/907185</f>
        <v>0</v>
      </c>
      <c r="AL8" s="174">
        <f>(AJ8*Inputs!$B$58)/907185</f>
        <v>0</v>
      </c>
      <c r="AM8" s="174">
        <f>(AJ8*Inputs!$B$60)/907185</f>
        <v>0</v>
      </c>
      <c r="AN8" s="174">
        <f>(AJ8*Inputs!$B$62)/907185</f>
        <v>0</v>
      </c>
      <c r="AO8" s="174">
        <f>'Avoided Truck Miles'!T8/(100*100)</f>
        <v>9.346009063023903</v>
      </c>
      <c r="AP8" s="174">
        <f>AO8*Inputs!$B$18</f>
        <v>7009.506797267927</v>
      </c>
      <c r="AQ8" s="174">
        <f>(AP8*Inputs!$B$68)/907185</f>
        <v>0.005046433835911781</v>
      </c>
      <c r="AR8" s="174">
        <f>(AP8*Inputs!$B$69)/907185</f>
        <v>0.0001254809001335242</v>
      </c>
      <c r="AS8" s="174">
        <f t="shared" si="13"/>
        <v>35.53065240201683</v>
      </c>
      <c r="AT8" s="174">
        <f t="shared" si="14"/>
        <v>1.759193011675878</v>
      </c>
      <c r="AU8" s="174">
        <f t="shared" si="15"/>
        <v>9.259928050469732</v>
      </c>
      <c r="AV8" s="215">
        <f t="shared" si="16"/>
        <v>0.8311415465950616</v>
      </c>
      <c r="AW8" s="174">
        <f t="shared" si="4"/>
        <v>37.62510333713606</v>
      </c>
      <c r="AX8" s="174">
        <f t="shared" si="5"/>
        <v>1.862771889650898</v>
      </c>
      <c r="AY8" s="174">
        <f t="shared" si="6"/>
        <v>9.777856102250931</v>
      </c>
      <c r="AZ8" s="215">
        <f t="shared" si="7"/>
        <v>0.8823029107060696</v>
      </c>
    </row>
    <row r="9" spans="1:52" ht="12">
      <c r="A9" s="169">
        <v>4</v>
      </c>
      <c r="B9" s="428">
        <v>2024</v>
      </c>
      <c r="C9" s="214">
        <f>'Avoided Truck Miles'!F9</f>
        <v>329859.1434008436</v>
      </c>
      <c r="D9" s="174">
        <f>(C9*Inputs!$B$61)/907185</f>
        <v>3.3419152510206342</v>
      </c>
      <c r="E9" s="174">
        <f>(C9*Inputs!$B$58)/907185</f>
        <v>0.1654413490604274</v>
      </c>
      <c r="F9" s="174">
        <f>(C9*Inputs!$B$60)/907185</f>
        <v>0.8708396285708212</v>
      </c>
      <c r="G9" s="174">
        <f>(C9*Inputs!$B$62)/907185</f>
        <v>0.0781755825230591</v>
      </c>
      <c r="H9" s="421">
        <f>'Avoided Truck Miles'!G9</f>
        <v>102993.0198745234</v>
      </c>
      <c r="I9" s="174">
        <f>(H9*Inputs!$B$66)/907185</f>
        <v>1.2476984169943421</v>
      </c>
      <c r="J9" s="174">
        <f>(H9*Inputs!$B$63)/907185</f>
        <v>0.061874034327744895</v>
      </c>
      <c r="K9" s="174">
        <f>(H9*Inputs!$B$65)/907185</f>
        <v>0.352965821513686</v>
      </c>
      <c r="L9" s="174">
        <f>(H9*Inputs!$B$67)/907185</f>
        <v>0.027020220495418867</v>
      </c>
      <c r="M9" s="174">
        <f t="shared" si="8"/>
        <v>2.094216834026292</v>
      </c>
      <c r="N9" s="174">
        <f t="shared" si="9"/>
        <v>0.1035673147326825</v>
      </c>
      <c r="O9" s="174">
        <f t="shared" si="10"/>
        <v>0.5178738070571351</v>
      </c>
      <c r="P9" s="215">
        <f t="shared" si="11"/>
        <v>0.05115536202764023</v>
      </c>
      <c r="Q9" s="499">
        <f>'Avoided Truck Miles'!P9</f>
        <v>53</v>
      </c>
      <c r="R9" s="174">
        <f>(Q9*Inputs!$B$61)/907185</f>
        <v>0.0005369610388178817</v>
      </c>
      <c r="S9" s="174">
        <f>(Q9*Inputs!$B$58)/907185</f>
        <v>2.6582229644449592E-05</v>
      </c>
      <c r="T9" s="174">
        <f>(Q9*Inputs!$B$60)/907185</f>
        <v>0.00013992184615045444</v>
      </c>
      <c r="U9" s="174">
        <f>(Q9*Inputs!$B$62)/907185</f>
        <v>1.2560833788036618E-05</v>
      </c>
      <c r="V9" s="501">
        <f>'Avoided Truck Miles'!Q9</f>
        <v>25</v>
      </c>
      <c r="W9" s="174">
        <f>(V9*Inputs!$B$66)/907185</f>
        <v>0.00030285994587653014</v>
      </c>
      <c r="X9" s="174">
        <f>(V9*Inputs!$B$63)/907185</f>
        <v>1.5018987306888894E-05</v>
      </c>
      <c r="Y9" s="174">
        <f>(V9*Inputs!$B$65)/907185</f>
        <v>8.567712208645424E-05</v>
      </c>
      <c r="Z9" s="174">
        <f>(V9*Inputs!$B$67)/907185</f>
        <v>6.5587504202560665E-06</v>
      </c>
      <c r="AA9" s="174">
        <f t="shared" si="12"/>
        <v>0.00023410109294135157</v>
      </c>
      <c r="AB9" s="174">
        <f t="shared" si="1"/>
        <v>1.1563242337560698E-05</v>
      </c>
      <c r="AC9" s="174">
        <f t="shared" si="2"/>
        <v>5.4244724064000195E-05</v>
      </c>
      <c r="AD9" s="425">
        <f t="shared" si="3"/>
        <v>6.002083367780552E-06</v>
      </c>
      <c r="AE9" s="214">
        <f>'Avoided Truck Miles'!X9</f>
        <v>3507502.22482897</v>
      </c>
      <c r="AF9" s="174">
        <f>(AE9*Inputs!$B$61)/907185</f>
        <v>35.53569883585274</v>
      </c>
      <c r="AG9" s="174">
        <f>(AE9*Inputs!$B$58)/907185</f>
        <v>1.759193011675878</v>
      </c>
      <c r="AH9" s="174">
        <f>(AE9*Inputs!$B$60)/907185</f>
        <v>9.259928050469732</v>
      </c>
      <c r="AI9" s="174">
        <f>(AE9*Inputs!$B$62)/907185</f>
        <v>0.8312670274951951</v>
      </c>
      <c r="AJ9" s="421">
        <f>'Avoided Truck Miles'!W9</f>
        <v>0</v>
      </c>
      <c r="AK9" s="174">
        <f>(AJ9*Inputs!$B$61)/907185</f>
        <v>0</v>
      </c>
      <c r="AL9" s="174">
        <f>(AJ9*Inputs!$B$58)/907185</f>
        <v>0</v>
      </c>
      <c r="AM9" s="174">
        <f>(AJ9*Inputs!$B$60)/907185</f>
        <v>0</v>
      </c>
      <c r="AN9" s="174">
        <f>(AJ9*Inputs!$B$62)/907185</f>
        <v>0</v>
      </c>
      <c r="AO9" s="174">
        <f>'Avoided Truck Miles'!T9/(100*100)</f>
        <v>9.346009063023903</v>
      </c>
      <c r="AP9" s="174">
        <f>AO9*Inputs!$B$18</f>
        <v>7009.506797267927</v>
      </c>
      <c r="AQ9" s="174">
        <f>(AP9*Inputs!$B$68)/907185</f>
        <v>0.005046433835911781</v>
      </c>
      <c r="AR9" s="174">
        <f>(AP9*Inputs!$B$69)/907185</f>
        <v>0.0001254809001335242</v>
      </c>
      <c r="AS9" s="174">
        <f t="shared" si="13"/>
        <v>35.53065240201683</v>
      </c>
      <c r="AT9" s="174">
        <f t="shared" si="14"/>
        <v>1.759193011675878</v>
      </c>
      <c r="AU9" s="174">
        <f t="shared" si="15"/>
        <v>9.259928050469732</v>
      </c>
      <c r="AV9" s="215">
        <f t="shared" si="16"/>
        <v>0.8311415465950616</v>
      </c>
      <c r="AW9" s="174">
        <f t="shared" si="4"/>
        <v>37.62510333713606</v>
      </c>
      <c r="AX9" s="174">
        <f t="shared" si="5"/>
        <v>1.862771889650898</v>
      </c>
      <c r="AY9" s="174">
        <f t="shared" si="6"/>
        <v>9.777856102250931</v>
      </c>
      <c r="AZ9" s="215">
        <f t="shared" si="7"/>
        <v>0.8823029107060696</v>
      </c>
    </row>
    <row r="10" spans="1:52" ht="12">
      <c r="A10" s="169">
        <v>5</v>
      </c>
      <c r="B10" s="428">
        <v>2025</v>
      </c>
      <c r="C10" s="214">
        <f>'Avoided Truck Miles'!F10</f>
        <v>329859.1434008436</v>
      </c>
      <c r="D10" s="174">
        <f>(C10*Inputs!$B$61)/907185</f>
        <v>3.3419152510206342</v>
      </c>
      <c r="E10" s="174">
        <f>(C10*Inputs!$B$58)/907185</f>
        <v>0.1654413490604274</v>
      </c>
      <c r="F10" s="174">
        <f>(C10*Inputs!$B$60)/907185</f>
        <v>0.8708396285708212</v>
      </c>
      <c r="G10" s="174">
        <f>(C10*Inputs!$B$62)/907185</f>
        <v>0.0781755825230591</v>
      </c>
      <c r="H10" s="421">
        <f>'Avoided Truck Miles'!G10</f>
        <v>102993.0198745234</v>
      </c>
      <c r="I10" s="174">
        <f>(H10*Inputs!$B$66)/907185</f>
        <v>1.2476984169943421</v>
      </c>
      <c r="J10" s="174">
        <f>(H10*Inputs!$B$63)/907185</f>
        <v>0.061874034327744895</v>
      </c>
      <c r="K10" s="174">
        <f>(H10*Inputs!$B$65)/907185</f>
        <v>0.352965821513686</v>
      </c>
      <c r="L10" s="174">
        <f>(H10*Inputs!$B$67)/907185</f>
        <v>0.027020220495418867</v>
      </c>
      <c r="M10" s="174">
        <f t="shared" si="8"/>
        <v>2.094216834026292</v>
      </c>
      <c r="N10" s="174">
        <f t="shared" si="9"/>
        <v>0.1035673147326825</v>
      </c>
      <c r="O10" s="174">
        <f t="shared" si="10"/>
        <v>0.5178738070571351</v>
      </c>
      <c r="P10" s="215">
        <f t="shared" si="11"/>
        <v>0.05115536202764023</v>
      </c>
      <c r="Q10" s="499">
        <f>'Avoided Truck Miles'!P10</f>
        <v>53</v>
      </c>
      <c r="R10" s="174">
        <f>(Q10*Inputs!$B$61)/907185</f>
        <v>0.0005369610388178817</v>
      </c>
      <c r="S10" s="174">
        <f>(Q10*Inputs!$B$58)/907185</f>
        <v>2.6582229644449592E-05</v>
      </c>
      <c r="T10" s="174">
        <f>(Q10*Inputs!$B$60)/907185</f>
        <v>0.00013992184615045444</v>
      </c>
      <c r="U10" s="174">
        <f>(Q10*Inputs!$B$62)/907185</f>
        <v>1.2560833788036618E-05</v>
      </c>
      <c r="V10" s="501">
        <f>'Avoided Truck Miles'!Q10</f>
        <v>25</v>
      </c>
      <c r="W10" s="174">
        <f>(V10*Inputs!$B$66)/907185</f>
        <v>0.00030285994587653014</v>
      </c>
      <c r="X10" s="174">
        <f>(V10*Inputs!$B$63)/907185</f>
        <v>1.5018987306888894E-05</v>
      </c>
      <c r="Y10" s="174">
        <f>(V10*Inputs!$B$65)/907185</f>
        <v>8.567712208645424E-05</v>
      </c>
      <c r="Z10" s="174">
        <f>(V10*Inputs!$B$67)/907185</f>
        <v>6.5587504202560665E-06</v>
      </c>
      <c r="AA10" s="174">
        <f t="shared" si="12"/>
        <v>0.00023410109294135157</v>
      </c>
      <c r="AB10" s="174">
        <f t="shared" si="1"/>
        <v>1.1563242337560698E-05</v>
      </c>
      <c r="AC10" s="174">
        <f t="shared" si="2"/>
        <v>5.4244724064000195E-05</v>
      </c>
      <c r="AD10" s="425">
        <f t="shared" si="3"/>
        <v>6.002083367780552E-06</v>
      </c>
      <c r="AE10" s="214">
        <f>'Avoided Truck Miles'!X10</f>
        <v>3507502.22482897</v>
      </c>
      <c r="AF10" s="174">
        <f>(AE10*Inputs!$B$61)/907185</f>
        <v>35.53569883585274</v>
      </c>
      <c r="AG10" s="174">
        <f>(AE10*Inputs!$B$58)/907185</f>
        <v>1.759193011675878</v>
      </c>
      <c r="AH10" s="174">
        <f>(AE10*Inputs!$B$60)/907185</f>
        <v>9.259928050469732</v>
      </c>
      <c r="AI10" s="174">
        <f>(AE10*Inputs!$B$62)/907185</f>
        <v>0.8312670274951951</v>
      </c>
      <c r="AJ10" s="421">
        <f>'Avoided Truck Miles'!W10</f>
        <v>0</v>
      </c>
      <c r="AK10" s="174">
        <f>(AJ10*Inputs!$B$61)/907185</f>
        <v>0</v>
      </c>
      <c r="AL10" s="174">
        <f>(AJ10*Inputs!$B$58)/907185</f>
        <v>0</v>
      </c>
      <c r="AM10" s="174">
        <f>(AJ10*Inputs!$B$60)/907185</f>
        <v>0</v>
      </c>
      <c r="AN10" s="174">
        <f>(AJ10*Inputs!$B$62)/907185</f>
        <v>0</v>
      </c>
      <c r="AO10" s="174">
        <f>'Avoided Truck Miles'!T10/(100*100)</f>
        <v>9.346009063023903</v>
      </c>
      <c r="AP10" s="174">
        <f>AO10*Inputs!$B$18</f>
        <v>7009.506797267927</v>
      </c>
      <c r="AQ10" s="174">
        <f>(AP10*Inputs!$B$68)/907185</f>
        <v>0.005046433835911781</v>
      </c>
      <c r="AR10" s="174">
        <f>(AP10*Inputs!$B$69)/907185</f>
        <v>0.0001254809001335242</v>
      </c>
      <c r="AS10" s="174">
        <f t="shared" si="13"/>
        <v>35.53065240201683</v>
      </c>
      <c r="AT10" s="174">
        <f t="shared" si="14"/>
        <v>1.759193011675878</v>
      </c>
      <c r="AU10" s="174">
        <f t="shared" si="15"/>
        <v>9.259928050469732</v>
      </c>
      <c r="AV10" s="215">
        <f t="shared" si="16"/>
        <v>0.8311415465950616</v>
      </c>
      <c r="AW10" s="174">
        <f t="shared" si="4"/>
        <v>37.62510333713606</v>
      </c>
      <c r="AX10" s="174">
        <f t="shared" si="5"/>
        <v>1.862771889650898</v>
      </c>
      <c r="AY10" s="174">
        <f t="shared" si="6"/>
        <v>9.777856102250931</v>
      </c>
      <c r="AZ10" s="215">
        <f t="shared" si="7"/>
        <v>0.8823029107060696</v>
      </c>
    </row>
    <row r="11" spans="1:52" ht="12">
      <c r="A11" s="169">
        <v>6</v>
      </c>
      <c r="B11" s="428">
        <v>2026</v>
      </c>
      <c r="C11" s="214">
        <f>'Avoided Truck Miles'!F11</f>
        <v>329859.1434008436</v>
      </c>
      <c r="D11" s="174">
        <f>(C11*Inputs!$B$61)/907185</f>
        <v>3.3419152510206342</v>
      </c>
      <c r="E11" s="174">
        <f>(C11*Inputs!$B$58)/907185</f>
        <v>0.1654413490604274</v>
      </c>
      <c r="F11" s="174">
        <f>(C11*Inputs!$B$60)/907185</f>
        <v>0.8708396285708212</v>
      </c>
      <c r="G11" s="174">
        <f>(C11*Inputs!$B$62)/907185</f>
        <v>0.0781755825230591</v>
      </c>
      <c r="H11" s="421">
        <f>'Avoided Truck Miles'!G11</f>
        <v>102993.0198745234</v>
      </c>
      <c r="I11" s="174">
        <f>(H11*Inputs!$B$66)/907185</f>
        <v>1.2476984169943421</v>
      </c>
      <c r="J11" s="174">
        <f>(H11*Inputs!$B$63)/907185</f>
        <v>0.061874034327744895</v>
      </c>
      <c r="K11" s="174">
        <f>(H11*Inputs!$B$65)/907185</f>
        <v>0.352965821513686</v>
      </c>
      <c r="L11" s="174">
        <f>(H11*Inputs!$B$67)/907185</f>
        <v>0.027020220495418867</v>
      </c>
      <c r="M11" s="174">
        <f t="shared" si="8"/>
        <v>2.094216834026292</v>
      </c>
      <c r="N11" s="174">
        <f t="shared" si="9"/>
        <v>0.1035673147326825</v>
      </c>
      <c r="O11" s="174">
        <f t="shared" si="10"/>
        <v>0.5178738070571351</v>
      </c>
      <c r="P11" s="215">
        <f t="shared" si="11"/>
        <v>0.05115536202764023</v>
      </c>
      <c r="Q11" s="499">
        <f>'Avoided Truck Miles'!P11</f>
        <v>53</v>
      </c>
      <c r="R11" s="174">
        <f>(Q11*Inputs!$B$61)/907185</f>
        <v>0.0005369610388178817</v>
      </c>
      <c r="S11" s="174">
        <f>(Q11*Inputs!$B$58)/907185</f>
        <v>2.6582229644449592E-05</v>
      </c>
      <c r="T11" s="174">
        <f>(Q11*Inputs!$B$60)/907185</f>
        <v>0.00013992184615045444</v>
      </c>
      <c r="U11" s="174">
        <f>(Q11*Inputs!$B$62)/907185</f>
        <v>1.2560833788036618E-05</v>
      </c>
      <c r="V11" s="501">
        <f>'Avoided Truck Miles'!Q11</f>
        <v>25</v>
      </c>
      <c r="W11" s="174">
        <f>(V11*Inputs!$B$66)/907185</f>
        <v>0.00030285994587653014</v>
      </c>
      <c r="X11" s="174">
        <f>(V11*Inputs!$B$63)/907185</f>
        <v>1.5018987306888894E-05</v>
      </c>
      <c r="Y11" s="174">
        <f>(V11*Inputs!$B$65)/907185</f>
        <v>8.567712208645424E-05</v>
      </c>
      <c r="Z11" s="174">
        <f>(V11*Inputs!$B$67)/907185</f>
        <v>6.5587504202560665E-06</v>
      </c>
      <c r="AA11" s="174">
        <f t="shared" si="12"/>
        <v>0.00023410109294135157</v>
      </c>
      <c r="AB11" s="174">
        <f t="shared" si="1"/>
        <v>1.1563242337560698E-05</v>
      </c>
      <c r="AC11" s="174">
        <f t="shared" si="2"/>
        <v>5.4244724064000195E-05</v>
      </c>
      <c r="AD11" s="425">
        <f t="shared" si="3"/>
        <v>6.002083367780552E-06</v>
      </c>
      <c r="AE11" s="214">
        <f>'Avoided Truck Miles'!X11</f>
        <v>3507502.22482897</v>
      </c>
      <c r="AF11" s="174">
        <f>(AE11*Inputs!$B$61)/907185</f>
        <v>35.53569883585274</v>
      </c>
      <c r="AG11" s="174">
        <f>(AE11*Inputs!$B$58)/907185</f>
        <v>1.759193011675878</v>
      </c>
      <c r="AH11" s="174">
        <f>(AE11*Inputs!$B$60)/907185</f>
        <v>9.259928050469732</v>
      </c>
      <c r="AI11" s="174">
        <f>(AE11*Inputs!$B$62)/907185</f>
        <v>0.8312670274951951</v>
      </c>
      <c r="AJ11" s="421">
        <f>'Avoided Truck Miles'!W11</f>
        <v>0</v>
      </c>
      <c r="AK11" s="174">
        <f>(AJ11*Inputs!$B$61)/907185</f>
        <v>0</v>
      </c>
      <c r="AL11" s="174">
        <f>(AJ11*Inputs!$B$58)/907185</f>
        <v>0</v>
      </c>
      <c r="AM11" s="174">
        <f>(AJ11*Inputs!$B$60)/907185</f>
        <v>0</v>
      </c>
      <c r="AN11" s="174">
        <f>(AJ11*Inputs!$B$62)/907185</f>
        <v>0</v>
      </c>
      <c r="AO11" s="174">
        <f>'Avoided Truck Miles'!T11/(100*100)</f>
        <v>9.346009063023903</v>
      </c>
      <c r="AP11" s="174">
        <f>AO11*Inputs!$B$18</f>
        <v>7009.506797267927</v>
      </c>
      <c r="AQ11" s="174">
        <f>(AP11*Inputs!$B$68)/907185</f>
        <v>0.005046433835911781</v>
      </c>
      <c r="AR11" s="174">
        <f>(AP11*Inputs!$B$69)/907185</f>
        <v>0.0001254809001335242</v>
      </c>
      <c r="AS11" s="174">
        <f t="shared" si="13"/>
        <v>35.53065240201683</v>
      </c>
      <c r="AT11" s="174">
        <f t="shared" si="14"/>
        <v>1.759193011675878</v>
      </c>
      <c r="AU11" s="174">
        <f t="shared" si="15"/>
        <v>9.259928050469732</v>
      </c>
      <c r="AV11" s="215">
        <f t="shared" si="16"/>
        <v>0.8311415465950616</v>
      </c>
      <c r="AW11" s="174">
        <f t="shared" si="4"/>
        <v>37.62510333713606</v>
      </c>
      <c r="AX11" s="174">
        <f t="shared" si="5"/>
        <v>1.862771889650898</v>
      </c>
      <c r="AY11" s="174">
        <f t="shared" si="6"/>
        <v>9.777856102250931</v>
      </c>
      <c r="AZ11" s="215">
        <f t="shared" si="7"/>
        <v>0.8823029107060696</v>
      </c>
    </row>
    <row r="12" spans="1:52" ht="12">
      <c r="A12" s="169">
        <v>7</v>
      </c>
      <c r="B12" s="428">
        <v>2027</v>
      </c>
      <c r="C12" s="214">
        <f>'Avoided Truck Miles'!F12</f>
        <v>329859.1434008436</v>
      </c>
      <c r="D12" s="174">
        <f>(C12*Inputs!$B$61)/907185</f>
        <v>3.3419152510206342</v>
      </c>
      <c r="E12" s="174">
        <f>(C12*Inputs!$B$58)/907185</f>
        <v>0.1654413490604274</v>
      </c>
      <c r="F12" s="174">
        <f>(C12*Inputs!$B$60)/907185</f>
        <v>0.8708396285708212</v>
      </c>
      <c r="G12" s="174">
        <f>(C12*Inputs!$B$62)/907185</f>
        <v>0.0781755825230591</v>
      </c>
      <c r="H12" s="421">
        <f>'Avoided Truck Miles'!G12</f>
        <v>102993.0198745234</v>
      </c>
      <c r="I12" s="174">
        <f>(H12*Inputs!$B$66)/907185</f>
        <v>1.2476984169943421</v>
      </c>
      <c r="J12" s="174">
        <f>(H12*Inputs!$B$63)/907185</f>
        <v>0.061874034327744895</v>
      </c>
      <c r="K12" s="174">
        <f>(H12*Inputs!$B$65)/907185</f>
        <v>0.352965821513686</v>
      </c>
      <c r="L12" s="174">
        <f>(H12*Inputs!$B$67)/907185</f>
        <v>0.027020220495418867</v>
      </c>
      <c r="M12" s="174">
        <f t="shared" si="8"/>
        <v>2.094216834026292</v>
      </c>
      <c r="N12" s="174">
        <f t="shared" si="9"/>
        <v>0.1035673147326825</v>
      </c>
      <c r="O12" s="174">
        <f t="shared" si="10"/>
        <v>0.5178738070571351</v>
      </c>
      <c r="P12" s="215">
        <f t="shared" si="11"/>
        <v>0.05115536202764023</v>
      </c>
      <c r="Q12" s="499">
        <f>'Avoided Truck Miles'!P12</f>
        <v>53</v>
      </c>
      <c r="R12" s="174">
        <f>(Q12*Inputs!$B$61)/907185</f>
        <v>0.0005369610388178817</v>
      </c>
      <c r="S12" s="174">
        <f>(Q12*Inputs!$B$58)/907185</f>
        <v>2.6582229644449592E-05</v>
      </c>
      <c r="T12" s="174">
        <f>(Q12*Inputs!$B$60)/907185</f>
        <v>0.00013992184615045444</v>
      </c>
      <c r="U12" s="174">
        <f>(Q12*Inputs!$B$62)/907185</f>
        <v>1.2560833788036618E-05</v>
      </c>
      <c r="V12" s="501">
        <f>'Avoided Truck Miles'!Q12</f>
        <v>25</v>
      </c>
      <c r="W12" s="174">
        <f>(V12*Inputs!$B$66)/907185</f>
        <v>0.00030285994587653014</v>
      </c>
      <c r="X12" s="174">
        <f>(V12*Inputs!$B$63)/907185</f>
        <v>1.5018987306888894E-05</v>
      </c>
      <c r="Y12" s="174">
        <f>(V12*Inputs!$B$65)/907185</f>
        <v>8.567712208645424E-05</v>
      </c>
      <c r="Z12" s="174">
        <f>(V12*Inputs!$B$67)/907185</f>
        <v>6.5587504202560665E-06</v>
      </c>
      <c r="AA12" s="174">
        <f t="shared" si="12"/>
        <v>0.00023410109294135157</v>
      </c>
      <c r="AB12" s="174">
        <f t="shared" si="1"/>
        <v>1.1563242337560698E-05</v>
      </c>
      <c r="AC12" s="174">
        <f t="shared" si="2"/>
        <v>5.4244724064000195E-05</v>
      </c>
      <c r="AD12" s="425">
        <f t="shared" si="3"/>
        <v>6.002083367780552E-06</v>
      </c>
      <c r="AE12" s="214">
        <f>'Avoided Truck Miles'!X12</f>
        <v>3507502.22482897</v>
      </c>
      <c r="AF12" s="174">
        <f>(AE12*Inputs!$B$61)/907185</f>
        <v>35.53569883585274</v>
      </c>
      <c r="AG12" s="174">
        <f>(AE12*Inputs!$B$58)/907185</f>
        <v>1.759193011675878</v>
      </c>
      <c r="AH12" s="174">
        <f>(AE12*Inputs!$B$60)/907185</f>
        <v>9.259928050469732</v>
      </c>
      <c r="AI12" s="174">
        <f>(AE12*Inputs!$B$62)/907185</f>
        <v>0.8312670274951951</v>
      </c>
      <c r="AJ12" s="421">
        <f>'Avoided Truck Miles'!W12</f>
        <v>0</v>
      </c>
      <c r="AK12" s="174">
        <f>(AJ12*Inputs!$B$61)/907185</f>
        <v>0</v>
      </c>
      <c r="AL12" s="174">
        <f>(AJ12*Inputs!$B$58)/907185</f>
        <v>0</v>
      </c>
      <c r="AM12" s="174">
        <f>(AJ12*Inputs!$B$60)/907185</f>
        <v>0</v>
      </c>
      <c r="AN12" s="174">
        <f>(AJ12*Inputs!$B$62)/907185</f>
        <v>0</v>
      </c>
      <c r="AO12" s="174">
        <f>'Avoided Truck Miles'!T12/(100*100)</f>
        <v>9.346009063023903</v>
      </c>
      <c r="AP12" s="174">
        <f>AO12*Inputs!$B$18</f>
        <v>7009.506797267927</v>
      </c>
      <c r="AQ12" s="174">
        <f>(AP12*Inputs!$B$68)/907185</f>
        <v>0.005046433835911781</v>
      </c>
      <c r="AR12" s="174">
        <f>(AP12*Inputs!$B$69)/907185</f>
        <v>0.0001254809001335242</v>
      </c>
      <c r="AS12" s="174">
        <f t="shared" si="13"/>
        <v>35.53065240201683</v>
      </c>
      <c r="AT12" s="174">
        <f t="shared" si="14"/>
        <v>1.759193011675878</v>
      </c>
      <c r="AU12" s="174">
        <f t="shared" si="15"/>
        <v>9.259928050469732</v>
      </c>
      <c r="AV12" s="215">
        <f t="shared" si="16"/>
        <v>0.8311415465950616</v>
      </c>
      <c r="AW12" s="174">
        <f t="shared" si="4"/>
        <v>37.62510333713606</v>
      </c>
      <c r="AX12" s="174">
        <f t="shared" si="5"/>
        <v>1.862771889650898</v>
      </c>
      <c r="AY12" s="174">
        <f t="shared" si="6"/>
        <v>9.777856102250931</v>
      </c>
      <c r="AZ12" s="215">
        <f t="shared" si="7"/>
        <v>0.8823029107060696</v>
      </c>
    </row>
    <row r="13" spans="1:52" ht="12">
      <c r="A13" s="169">
        <v>8</v>
      </c>
      <c r="B13" s="428">
        <v>2028</v>
      </c>
      <c r="C13" s="214">
        <f>'Avoided Truck Miles'!F13</f>
        <v>329859.1434008436</v>
      </c>
      <c r="D13" s="174">
        <f>(C13*Inputs!$B$61)/907185</f>
        <v>3.3419152510206342</v>
      </c>
      <c r="E13" s="174">
        <f>(C13*Inputs!$B$58)/907185</f>
        <v>0.1654413490604274</v>
      </c>
      <c r="F13" s="174">
        <f>(C13*Inputs!$B$60)/907185</f>
        <v>0.8708396285708212</v>
      </c>
      <c r="G13" s="174">
        <f>(C13*Inputs!$B$62)/907185</f>
        <v>0.0781755825230591</v>
      </c>
      <c r="H13" s="421">
        <f>'Avoided Truck Miles'!G13</f>
        <v>102993.0198745234</v>
      </c>
      <c r="I13" s="174">
        <f>(H13*Inputs!$B$66)/907185</f>
        <v>1.2476984169943421</v>
      </c>
      <c r="J13" s="174">
        <f>(H13*Inputs!$B$63)/907185</f>
        <v>0.061874034327744895</v>
      </c>
      <c r="K13" s="174">
        <f>(H13*Inputs!$B$65)/907185</f>
        <v>0.352965821513686</v>
      </c>
      <c r="L13" s="174">
        <f>(H13*Inputs!$B$67)/907185</f>
        <v>0.027020220495418867</v>
      </c>
      <c r="M13" s="174">
        <f t="shared" si="8"/>
        <v>2.094216834026292</v>
      </c>
      <c r="N13" s="174">
        <f t="shared" si="9"/>
        <v>0.1035673147326825</v>
      </c>
      <c r="O13" s="174">
        <f t="shared" si="10"/>
        <v>0.5178738070571351</v>
      </c>
      <c r="P13" s="215">
        <f t="shared" si="11"/>
        <v>0.05115536202764023</v>
      </c>
      <c r="Q13" s="499">
        <f>'Avoided Truck Miles'!P13</f>
        <v>53</v>
      </c>
      <c r="R13" s="174">
        <f>(Q13*Inputs!$B$61)/907185</f>
        <v>0.0005369610388178817</v>
      </c>
      <c r="S13" s="174">
        <f>(Q13*Inputs!$B$58)/907185</f>
        <v>2.6582229644449592E-05</v>
      </c>
      <c r="T13" s="174">
        <f>(Q13*Inputs!$B$60)/907185</f>
        <v>0.00013992184615045444</v>
      </c>
      <c r="U13" s="174">
        <f>(Q13*Inputs!$B$62)/907185</f>
        <v>1.2560833788036618E-05</v>
      </c>
      <c r="V13" s="501">
        <f>'Avoided Truck Miles'!Q13</f>
        <v>25</v>
      </c>
      <c r="W13" s="174">
        <f>(V13*Inputs!$B$66)/907185</f>
        <v>0.00030285994587653014</v>
      </c>
      <c r="X13" s="174">
        <f>(V13*Inputs!$B$63)/907185</f>
        <v>1.5018987306888894E-05</v>
      </c>
      <c r="Y13" s="174">
        <f>(V13*Inputs!$B$65)/907185</f>
        <v>8.567712208645424E-05</v>
      </c>
      <c r="Z13" s="174">
        <f>(V13*Inputs!$B$67)/907185</f>
        <v>6.5587504202560665E-06</v>
      </c>
      <c r="AA13" s="174">
        <f t="shared" si="12"/>
        <v>0.00023410109294135157</v>
      </c>
      <c r="AB13" s="174">
        <f t="shared" si="1"/>
        <v>1.1563242337560698E-05</v>
      </c>
      <c r="AC13" s="174">
        <f t="shared" si="2"/>
        <v>5.4244724064000195E-05</v>
      </c>
      <c r="AD13" s="425">
        <f t="shared" si="3"/>
        <v>6.002083367780552E-06</v>
      </c>
      <c r="AE13" s="214">
        <f>'Avoided Truck Miles'!X13</f>
        <v>3507502.22482897</v>
      </c>
      <c r="AF13" s="174">
        <f>(AE13*Inputs!$B$61)/907185</f>
        <v>35.53569883585274</v>
      </c>
      <c r="AG13" s="174">
        <f>(AE13*Inputs!$B$58)/907185</f>
        <v>1.759193011675878</v>
      </c>
      <c r="AH13" s="174">
        <f>(AE13*Inputs!$B$60)/907185</f>
        <v>9.259928050469732</v>
      </c>
      <c r="AI13" s="174">
        <f>(AE13*Inputs!$B$62)/907185</f>
        <v>0.8312670274951951</v>
      </c>
      <c r="AJ13" s="421">
        <f>'Avoided Truck Miles'!W13</f>
        <v>0</v>
      </c>
      <c r="AK13" s="174">
        <f>(AJ13*Inputs!$B$61)/907185</f>
        <v>0</v>
      </c>
      <c r="AL13" s="174">
        <f>(AJ13*Inputs!$B$58)/907185</f>
        <v>0</v>
      </c>
      <c r="AM13" s="174">
        <f>(AJ13*Inputs!$B$60)/907185</f>
        <v>0</v>
      </c>
      <c r="AN13" s="174">
        <f>(AJ13*Inputs!$B$62)/907185</f>
        <v>0</v>
      </c>
      <c r="AO13" s="174">
        <f>'Avoided Truck Miles'!T13/(100*100)</f>
        <v>9.346009063023903</v>
      </c>
      <c r="AP13" s="174">
        <f>AO13*Inputs!$B$18</f>
        <v>7009.506797267927</v>
      </c>
      <c r="AQ13" s="174">
        <f>(AP13*Inputs!$B$68)/907185</f>
        <v>0.005046433835911781</v>
      </c>
      <c r="AR13" s="174">
        <f>(AP13*Inputs!$B$69)/907185</f>
        <v>0.0001254809001335242</v>
      </c>
      <c r="AS13" s="174">
        <f t="shared" si="13"/>
        <v>35.53065240201683</v>
      </c>
      <c r="AT13" s="174">
        <f t="shared" si="14"/>
        <v>1.759193011675878</v>
      </c>
      <c r="AU13" s="174">
        <f t="shared" si="15"/>
        <v>9.259928050469732</v>
      </c>
      <c r="AV13" s="215">
        <f t="shared" si="16"/>
        <v>0.8311415465950616</v>
      </c>
      <c r="AW13" s="174">
        <f t="shared" si="4"/>
        <v>37.62510333713606</v>
      </c>
      <c r="AX13" s="174">
        <f t="shared" si="5"/>
        <v>1.862771889650898</v>
      </c>
      <c r="AY13" s="174">
        <f t="shared" si="6"/>
        <v>9.777856102250931</v>
      </c>
      <c r="AZ13" s="215">
        <f t="shared" si="7"/>
        <v>0.8823029107060696</v>
      </c>
    </row>
    <row r="14" spans="1:52" ht="12">
      <c r="A14" s="169">
        <v>9</v>
      </c>
      <c r="B14" s="428">
        <v>2029</v>
      </c>
      <c r="C14" s="214">
        <f>'Avoided Truck Miles'!F14</f>
        <v>329859.1434008436</v>
      </c>
      <c r="D14" s="174">
        <f>(C14*Inputs!$B$61)/907185</f>
        <v>3.3419152510206342</v>
      </c>
      <c r="E14" s="174">
        <f>(C14*Inputs!$B$58)/907185</f>
        <v>0.1654413490604274</v>
      </c>
      <c r="F14" s="174">
        <f>(C14*Inputs!$B$60)/907185</f>
        <v>0.8708396285708212</v>
      </c>
      <c r="G14" s="174">
        <f>(C14*Inputs!$B$62)/907185</f>
        <v>0.0781755825230591</v>
      </c>
      <c r="H14" s="421">
        <f>'Avoided Truck Miles'!G14</f>
        <v>102993.0198745234</v>
      </c>
      <c r="I14" s="174">
        <f>(H14*Inputs!$B$66)/907185</f>
        <v>1.2476984169943421</v>
      </c>
      <c r="J14" s="174">
        <f>(H14*Inputs!$B$63)/907185</f>
        <v>0.061874034327744895</v>
      </c>
      <c r="K14" s="174">
        <f>(H14*Inputs!$B$65)/907185</f>
        <v>0.352965821513686</v>
      </c>
      <c r="L14" s="174">
        <f>(H14*Inputs!$B$67)/907185</f>
        <v>0.027020220495418867</v>
      </c>
      <c r="M14" s="174">
        <f t="shared" si="8"/>
        <v>2.094216834026292</v>
      </c>
      <c r="N14" s="174">
        <f t="shared" si="9"/>
        <v>0.1035673147326825</v>
      </c>
      <c r="O14" s="174">
        <f t="shared" si="10"/>
        <v>0.5178738070571351</v>
      </c>
      <c r="P14" s="215">
        <f t="shared" si="11"/>
        <v>0.05115536202764023</v>
      </c>
      <c r="Q14" s="499">
        <f>'Avoided Truck Miles'!P14</f>
        <v>53</v>
      </c>
      <c r="R14" s="174">
        <f>(Q14*Inputs!$B$61)/907185</f>
        <v>0.0005369610388178817</v>
      </c>
      <c r="S14" s="174">
        <f>(Q14*Inputs!$B$58)/907185</f>
        <v>2.6582229644449592E-05</v>
      </c>
      <c r="T14" s="174">
        <f>(Q14*Inputs!$B$60)/907185</f>
        <v>0.00013992184615045444</v>
      </c>
      <c r="U14" s="174">
        <f>(Q14*Inputs!$B$62)/907185</f>
        <v>1.2560833788036618E-05</v>
      </c>
      <c r="V14" s="501">
        <f>'Avoided Truck Miles'!Q14</f>
        <v>25</v>
      </c>
      <c r="W14" s="174">
        <f>(V14*Inputs!$B$66)/907185</f>
        <v>0.00030285994587653014</v>
      </c>
      <c r="X14" s="174">
        <f>(V14*Inputs!$B$63)/907185</f>
        <v>1.5018987306888894E-05</v>
      </c>
      <c r="Y14" s="174">
        <f>(V14*Inputs!$B$65)/907185</f>
        <v>8.567712208645424E-05</v>
      </c>
      <c r="Z14" s="174">
        <f>(V14*Inputs!$B$67)/907185</f>
        <v>6.5587504202560665E-06</v>
      </c>
      <c r="AA14" s="174">
        <f t="shared" si="12"/>
        <v>0.00023410109294135157</v>
      </c>
      <c r="AB14" s="174">
        <f t="shared" si="1"/>
        <v>1.1563242337560698E-05</v>
      </c>
      <c r="AC14" s="174">
        <f t="shared" si="2"/>
        <v>5.4244724064000195E-05</v>
      </c>
      <c r="AD14" s="425">
        <f t="shared" si="3"/>
        <v>6.002083367780552E-06</v>
      </c>
      <c r="AE14" s="214">
        <f>'Avoided Truck Miles'!X14</f>
        <v>3507502.22482897</v>
      </c>
      <c r="AF14" s="174">
        <f>(AE14*Inputs!$B$61)/907185</f>
        <v>35.53569883585274</v>
      </c>
      <c r="AG14" s="174">
        <f>(AE14*Inputs!$B$58)/907185</f>
        <v>1.759193011675878</v>
      </c>
      <c r="AH14" s="174">
        <f>(AE14*Inputs!$B$60)/907185</f>
        <v>9.259928050469732</v>
      </c>
      <c r="AI14" s="174">
        <f>(AE14*Inputs!$B$62)/907185</f>
        <v>0.8312670274951951</v>
      </c>
      <c r="AJ14" s="421">
        <f>'Avoided Truck Miles'!W14</f>
        <v>0</v>
      </c>
      <c r="AK14" s="174">
        <f>(AJ14*Inputs!$B$61)/907185</f>
        <v>0</v>
      </c>
      <c r="AL14" s="174">
        <f>(AJ14*Inputs!$B$58)/907185</f>
        <v>0</v>
      </c>
      <c r="AM14" s="174">
        <f>(AJ14*Inputs!$B$60)/907185</f>
        <v>0</v>
      </c>
      <c r="AN14" s="174">
        <f>(AJ14*Inputs!$B$62)/907185</f>
        <v>0</v>
      </c>
      <c r="AO14" s="174">
        <f>'Avoided Truck Miles'!T14/(100*100)</f>
        <v>9.346009063023903</v>
      </c>
      <c r="AP14" s="174">
        <f>AO14*Inputs!$B$18</f>
        <v>7009.506797267927</v>
      </c>
      <c r="AQ14" s="174">
        <f>(AP14*Inputs!$B$68)/907185</f>
        <v>0.005046433835911781</v>
      </c>
      <c r="AR14" s="174">
        <f>(AP14*Inputs!$B$69)/907185</f>
        <v>0.0001254809001335242</v>
      </c>
      <c r="AS14" s="174">
        <f t="shared" si="13"/>
        <v>35.53065240201683</v>
      </c>
      <c r="AT14" s="174">
        <f t="shared" si="14"/>
        <v>1.759193011675878</v>
      </c>
      <c r="AU14" s="174">
        <f t="shared" si="15"/>
        <v>9.259928050469732</v>
      </c>
      <c r="AV14" s="215">
        <f t="shared" si="16"/>
        <v>0.8311415465950616</v>
      </c>
      <c r="AW14" s="174">
        <f t="shared" si="4"/>
        <v>37.62510333713606</v>
      </c>
      <c r="AX14" s="174">
        <f t="shared" si="5"/>
        <v>1.862771889650898</v>
      </c>
      <c r="AY14" s="174">
        <f t="shared" si="6"/>
        <v>9.777856102250931</v>
      </c>
      <c r="AZ14" s="215">
        <f t="shared" si="7"/>
        <v>0.8823029107060696</v>
      </c>
    </row>
    <row r="15" spans="1:52" ht="12">
      <c r="A15" s="169">
        <v>10</v>
      </c>
      <c r="B15" s="428">
        <v>2030</v>
      </c>
      <c r="C15" s="214">
        <f>'Avoided Truck Miles'!F15</f>
        <v>329859.1434008436</v>
      </c>
      <c r="D15" s="174">
        <f>(C15*Inputs!$B$61)/907185</f>
        <v>3.3419152510206342</v>
      </c>
      <c r="E15" s="174">
        <f>(C15*Inputs!$B$58)/907185</f>
        <v>0.1654413490604274</v>
      </c>
      <c r="F15" s="174">
        <f>(C15*Inputs!$B$60)/907185</f>
        <v>0.8708396285708212</v>
      </c>
      <c r="G15" s="174">
        <f>(C15*Inputs!$B$62)/907185</f>
        <v>0.0781755825230591</v>
      </c>
      <c r="H15" s="421">
        <f>'Avoided Truck Miles'!G15</f>
        <v>102993.0198745234</v>
      </c>
      <c r="I15" s="174">
        <f>(H15*Inputs!$B$66)/907185</f>
        <v>1.2476984169943421</v>
      </c>
      <c r="J15" s="174">
        <f>(H15*Inputs!$B$63)/907185</f>
        <v>0.061874034327744895</v>
      </c>
      <c r="K15" s="174">
        <f>(H15*Inputs!$B$65)/907185</f>
        <v>0.352965821513686</v>
      </c>
      <c r="L15" s="174">
        <f>(H15*Inputs!$B$67)/907185</f>
        <v>0.027020220495418867</v>
      </c>
      <c r="M15" s="174">
        <f t="shared" si="8"/>
        <v>2.094216834026292</v>
      </c>
      <c r="N15" s="174">
        <f t="shared" si="9"/>
        <v>0.1035673147326825</v>
      </c>
      <c r="O15" s="174">
        <f t="shared" si="10"/>
        <v>0.5178738070571351</v>
      </c>
      <c r="P15" s="215">
        <f t="shared" si="11"/>
        <v>0.05115536202764023</v>
      </c>
      <c r="Q15" s="499">
        <f>'Avoided Truck Miles'!P15</f>
        <v>53</v>
      </c>
      <c r="R15" s="174">
        <f>(Q15*Inputs!$B$61)/907185</f>
        <v>0.0005369610388178817</v>
      </c>
      <c r="S15" s="174">
        <f>(Q15*Inputs!$B$58)/907185</f>
        <v>2.6582229644449592E-05</v>
      </c>
      <c r="T15" s="174">
        <f>(Q15*Inputs!$B$60)/907185</f>
        <v>0.00013992184615045444</v>
      </c>
      <c r="U15" s="174">
        <f>(Q15*Inputs!$B$62)/907185</f>
        <v>1.2560833788036618E-05</v>
      </c>
      <c r="V15" s="501">
        <f>'Avoided Truck Miles'!Q15</f>
        <v>25</v>
      </c>
      <c r="W15" s="174">
        <f>(V15*Inputs!$B$66)/907185</f>
        <v>0.00030285994587653014</v>
      </c>
      <c r="X15" s="174">
        <f>(V15*Inputs!$B$63)/907185</f>
        <v>1.5018987306888894E-05</v>
      </c>
      <c r="Y15" s="174">
        <f>(V15*Inputs!$B$65)/907185</f>
        <v>8.567712208645424E-05</v>
      </c>
      <c r="Z15" s="174">
        <f>(V15*Inputs!$B$67)/907185</f>
        <v>6.5587504202560665E-06</v>
      </c>
      <c r="AA15" s="174">
        <f t="shared" si="12"/>
        <v>0.00023410109294135157</v>
      </c>
      <c r="AB15" s="174">
        <f t="shared" si="1"/>
        <v>1.1563242337560698E-05</v>
      </c>
      <c r="AC15" s="174">
        <f t="shared" si="2"/>
        <v>5.4244724064000195E-05</v>
      </c>
      <c r="AD15" s="425">
        <f t="shared" si="3"/>
        <v>6.002083367780552E-06</v>
      </c>
      <c r="AE15" s="214">
        <f>'Avoided Truck Miles'!X15</f>
        <v>3507502.22482897</v>
      </c>
      <c r="AF15" s="174">
        <f>(AE15*Inputs!$B$61)/907185</f>
        <v>35.53569883585274</v>
      </c>
      <c r="AG15" s="174">
        <f>(AE15*Inputs!$B$58)/907185</f>
        <v>1.759193011675878</v>
      </c>
      <c r="AH15" s="174">
        <f>(AE15*Inputs!$B$60)/907185</f>
        <v>9.259928050469732</v>
      </c>
      <c r="AI15" s="174">
        <f>(AE15*Inputs!$B$62)/907185</f>
        <v>0.8312670274951951</v>
      </c>
      <c r="AJ15" s="421">
        <f>'Avoided Truck Miles'!W15</f>
        <v>0</v>
      </c>
      <c r="AK15" s="174">
        <f>(AJ15*Inputs!$B$61)/907185</f>
        <v>0</v>
      </c>
      <c r="AL15" s="174">
        <f>(AJ15*Inputs!$B$58)/907185</f>
        <v>0</v>
      </c>
      <c r="AM15" s="174">
        <f>(AJ15*Inputs!$B$60)/907185</f>
        <v>0</v>
      </c>
      <c r="AN15" s="174">
        <f>(AJ15*Inputs!$B$62)/907185</f>
        <v>0</v>
      </c>
      <c r="AO15" s="174">
        <f>'Avoided Truck Miles'!T15/(100*100)</f>
        <v>9.346009063023903</v>
      </c>
      <c r="AP15" s="174">
        <f>AO15*Inputs!$B$18</f>
        <v>7009.506797267927</v>
      </c>
      <c r="AQ15" s="174">
        <f>(AP15*Inputs!$B$68)/907185</f>
        <v>0.005046433835911781</v>
      </c>
      <c r="AR15" s="174">
        <f>(AP15*Inputs!$B$69)/907185</f>
        <v>0.0001254809001335242</v>
      </c>
      <c r="AS15" s="174">
        <f t="shared" si="13"/>
        <v>35.53065240201683</v>
      </c>
      <c r="AT15" s="174">
        <f t="shared" si="14"/>
        <v>1.759193011675878</v>
      </c>
      <c r="AU15" s="174">
        <f t="shared" si="15"/>
        <v>9.259928050469732</v>
      </c>
      <c r="AV15" s="215">
        <f t="shared" si="16"/>
        <v>0.8311415465950616</v>
      </c>
      <c r="AW15" s="174">
        <f t="shared" si="4"/>
        <v>37.62510333713606</v>
      </c>
      <c r="AX15" s="174">
        <f t="shared" si="5"/>
        <v>1.862771889650898</v>
      </c>
      <c r="AY15" s="174">
        <f t="shared" si="6"/>
        <v>9.777856102250931</v>
      </c>
      <c r="AZ15" s="215">
        <f t="shared" si="7"/>
        <v>0.8823029107060696</v>
      </c>
    </row>
    <row r="16" spans="1:52" ht="12">
      <c r="A16" s="169">
        <v>11</v>
      </c>
      <c r="B16" s="428">
        <v>2031</v>
      </c>
      <c r="C16" s="214">
        <f>'Avoided Truck Miles'!F16</f>
        <v>329859.1434008436</v>
      </c>
      <c r="D16" s="174">
        <f>(C16*Inputs!$B$61)/907185</f>
        <v>3.3419152510206342</v>
      </c>
      <c r="E16" s="174">
        <f>(C16*Inputs!$B$58)/907185</f>
        <v>0.1654413490604274</v>
      </c>
      <c r="F16" s="174">
        <f>(C16*Inputs!$B$60)/907185</f>
        <v>0.8708396285708212</v>
      </c>
      <c r="G16" s="174">
        <f>(C16*Inputs!$B$62)/907185</f>
        <v>0.0781755825230591</v>
      </c>
      <c r="H16" s="421">
        <f>'Avoided Truck Miles'!G16</f>
        <v>102993.0198745234</v>
      </c>
      <c r="I16" s="174">
        <f>(H16*Inputs!$B$66)/907185</f>
        <v>1.2476984169943421</v>
      </c>
      <c r="J16" s="174">
        <f>(H16*Inputs!$B$63)/907185</f>
        <v>0.061874034327744895</v>
      </c>
      <c r="K16" s="174">
        <f>(H16*Inputs!$B$65)/907185</f>
        <v>0.352965821513686</v>
      </c>
      <c r="L16" s="174">
        <f>(H16*Inputs!$B$67)/907185</f>
        <v>0.027020220495418867</v>
      </c>
      <c r="M16" s="174">
        <f t="shared" si="8"/>
        <v>2.094216834026292</v>
      </c>
      <c r="N16" s="174">
        <f t="shared" si="9"/>
        <v>0.1035673147326825</v>
      </c>
      <c r="O16" s="174">
        <f t="shared" si="10"/>
        <v>0.5178738070571351</v>
      </c>
      <c r="P16" s="215">
        <f t="shared" si="11"/>
        <v>0.05115536202764023</v>
      </c>
      <c r="Q16" s="499">
        <f>'Avoided Truck Miles'!P16</f>
        <v>53</v>
      </c>
      <c r="R16" s="174">
        <f>(Q16*Inputs!$B$61)/907185</f>
        <v>0.0005369610388178817</v>
      </c>
      <c r="S16" s="174">
        <f>(Q16*Inputs!$B$58)/907185</f>
        <v>2.6582229644449592E-05</v>
      </c>
      <c r="T16" s="174">
        <f>(Q16*Inputs!$B$60)/907185</f>
        <v>0.00013992184615045444</v>
      </c>
      <c r="U16" s="174">
        <f>(Q16*Inputs!$B$62)/907185</f>
        <v>1.2560833788036618E-05</v>
      </c>
      <c r="V16" s="501">
        <f>'Avoided Truck Miles'!Q16</f>
        <v>25</v>
      </c>
      <c r="W16" s="174">
        <f>(V16*Inputs!$B$66)/907185</f>
        <v>0.00030285994587653014</v>
      </c>
      <c r="X16" s="174">
        <f>(V16*Inputs!$B$63)/907185</f>
        <v>1.5018987306888894E-05</v>
      </c>
      <c r="Y16" s="174">
        <f>(V16*Inputs!$B$65)/907185</f>
        <v>8.567712208645424E-05</v>
      </c>
      <c r="Z16" s="174">
        <f>(V16*Inputs!$B$67)/907185</f>
        <v>6.5587504202560665E-06</v>
      </c>
      <c r="AA16" s="174">
        <f t="shared" si="12"/>
        <v>0.00023410109294135157</v>
      </c>
      <c r="AB16" s="174">
        <f t="shared" si="1"/>
        <v>1.1563242337560698E-05</v>
      </c>
      <c r="AC16" s="174">
        <f t="shared" si="2"/>
        <v>5.4244724064000195E-05</v>
      </c>
      <c r="AD16" s="425">
        <f t="shared" si="3"/>
        <v>6.002083367780552E-06</v>
      </c>
      <c r="AE16" s="214">
        <f>'Avoided Truck Miles'!X16</f>
        <v>3507502.22482897</v>
      </c>
      <c r="AF16" s="174">
        <f>(AE16*Inputs!$B$61)/907185</f>
        <v>35.53569883585274</v>
      </c>
      <c r="AG16" s="174">
        <f>(AE16*Inputs!$B$58)/907185</f>
        <v>1.759193011675878</v>
      </c>
      <c r="AH16" s="174">
        <f>(AE16*Inputs!$B$60)/907185</f>
        <v>9.259928050469732</v>
      </c>
      <c r="AI16" s="174">
        <f>(AE16*Inputs!$B$62)/907185</f>
        <v>0.8312670274951951</v>
      </c>
      <c r="AJ16" s="421">
        <f>'Avoided Truck Miles'!W16</f>
        <v>0</v>
      </c>
      <c r="AK16" s="174">
        <f>(AJ16*Inputs!$B$61)/907185</f>
        <v>0</v>
      </c>
      <c r="AL16" s="174">
        <f>(AJ16*Inputs!$B$58)/907185</f>
        <v>0</v>
      </c>
      <c r="AM16" s="174">
        <f>(AJ16*Inputs!$B$60)/907185</f>
        <v>0</v>
      </c>
      <c r="AN16" s="174">
        <f>(AJ16*Inputs!$B$62)/907185</f>
        <v>0</v>
      </c>
      <c r="AO16" s="174">
        <f>'Avoided Truck Miles'!T16/(100*100)</f>
        <v>9.346009063023903</v>
      </c>
      <c r="AP16" s="174">
        <f>AO16*Inputs!$B$18</f>
        <v>7009.506797267927</v>
      </c>
      <c r="AQ16" s="174">
        <f>(AP16*Inputs!$B$68)/907185</f>
        <v>0.005046433835911781</v>
      </c>
      <c r="AR16" s="174">
        <f>(AP16*Inputs!$B$69)/907185</f>
        <v>0.0001254809001335242</v>
      </c>
      <c r="AS16" s="174">
        <f t="shared" si="13"/>
        <v>35.53065240201683</v>
      </c>
      <c r="AT16" s="174">
        <f t="shared" si="14"/>
        <v>1.759193011675878</v>
      </c>
      <c r="AU16" s="174">
        <f t="shared" si="15"/>
        <v>9.259928050469732</v>
      </c>
      <c r="AV16" s="215">
        <f t="shared" si="16"/>
        <v>0.8311415465950616</v>
      </c>
      <c r="AW16" s="174">
        <f t="shared" si="4"/>
        <v>37.62510333713606</v>
      </c>
      <c r="AX16" s="174">
        <f t="shared" si="5"/>
        <v>1.862771889650898</v>
      </c>
      <c r="AY16" s="174">
        <f t="shared" si="6"/>
        <v>9.777856102250931</v>
      </c>
      <c r="AZ16" s="215">
        <f t="shared" si="7"/>
        <v>0.8823029107060696</v>
      </c>
    </row>
    <row r="17" spans="1:52" ht="12">
      <c r="A17" s="169">
        <v>12</v>
      </c>
      <c r="B17" s="428">
        <v>2032</v>
      </c>
      <c r="C17" s="214">
        <f>'Avoided Truck Miles'!F17</f>
        <v>329859.1434008436</v>
      </c>
      <c r="D17" s="174">
        <f>(C17*Inputs!$B$61)/907185</f>
        <v>3.3419152510206342</v>
      </c>
      <c r="E17" s="174">
        <f>(C17*Inputs!$B$58)/907185</f>
        <v>0.1654413490604274</v>
      </c>
      <c r="F17" s="174">
        <f>(C17*Inputs!$B$60)/907185</f>
        <v>0.8708396285708212</v>
      </c>
      <c r="G17" s="174">
        <f>(C17*Inputs!$B$62)/907185</f>
        <v>0.0781755825230591</v>
      </c>
      <c r="H17" s="421">
        <f>'Avoided Truck Miles'!G17</f>
        <v>102993.0198745234</v>
      </c>
      <c r="I17" s="174">
        <f>(H17*Inputs!$B$66)/907185</f>
        <v>1.2476984169943421</v>
      </c>
      <c r="J17" s="174">
        <f>(H17*Inputs!$B$63)/907185</f>
        <v>0.061874034327744895</v>
      </c>
      <c r="K17" s="174">
        <f>(H17*Inputs!$B$65)/907185</f>
        <v>0.352965821513686</v>
      </c>
      <c r="L17" s="174">
        <f>(H17*Inputs!$B$67)/907185</f>
        <v>0.027020220495418867</v>
      </c>
      <c r="M17" s="174">
        <f t="shared" si="8"/>
        <v>2.094216834026292</v>
      </c>
      <c r="N17" s="174">
        <f t="shared" si="9"/>
        <v>0.1035673147326825</v>
      </c>
      <c r="O17" s="174">
        <f t="shared" si="10"/>
        <v>0.5178738070571351</v>
      </c>
      <c r="P17" s="215">
        <f t="shared" si="11"/>
        <v>0.05115536202764023</v>
      </c>
      <c r="Q17" s="499">
        <f>'Avoided Truck Miles'!P17</f>
        <v>53</v>
      </c>
      <c r="R17" s="174">
        <f>(Q17*Inputs!$B$61)/907185</f>
        <v>0.0005369610388178817</v>
      </c>
      <c r="S17" s="174">
        <f>(Q17*Inputs!$B$58)/907185</f>
        <v>2.6582229644449592E-05</v>
      </c>
      <c r="T17" s="174">
        <f>(Q17*Inputs!$B$60)/907185</f>
        <v>0.00013992184615045444</v>
      </c>
      <c r="U17" s="174">
        <f>(Q17*Inputs!$B$62)/907185</f>
        <v>1.2560833788036618E-05</v>
      </c>
      <c r="V17" s="501">
        <f>'Avoided Truck Miles'!Q17</f>
        <v>25</v>
      </c>
      <c r="W17" s="174">
        <f>(V17*Inputs!$B$66)/907185</f>
        <v>0.00030285994587653014</v>
      </c>
      <c r="X17" s="174">
        <f>(V17*Inputs!$B$63)/907185</f>
        <v>1.5018987306888894E-05</v>
      </c>
      <c r="Y17" s="174">
        <f>(V17*Inputs!$B$65)/907185</f>
        <v>8.567712208645424E-05</v>
      </c>
      <c r="Z17" s="174">
        <f>(V17*Inputs!$B$67)/907185</f>
        <v>6.5587504202560665E-06</v>
      </c>
      <c r="AA17" s="174">
        <f t="shared" si="12"/>
        <v>0.00023410109294135157</v>
      </c>
      <c r="AB17" s="174">
        <f t="shared" si="1"/>
        <v>1.1563242337560698E-05</v>
      </c>
      <c r="AC17" s="174">
        <f t="shared" si="2"/>
        <v>5.4244724064000195E-05</v>
      </c>
      <c r="AD17" s="425">
        <f t="shared" si="3"/>
        <v>6.002083367780552E-06</v>
      </c>
      <c r="AE17" s="214">
        <f>'Avoided Truck Miles'!X17</f>
        <v>3507502.22482897</v>
      </c>
      <c r="AF17" s="174">
        <f>(AE17*Inputs!$B$61)/907185</f>
        <v>35.53569883585274</v>
      </c>
      <c r="AG17" s="174">
        <f>(AE17*Inputs!$B$58)/907185</f>
        <v>1.759193011675878</v>
      </c>
      <c r="AH17" s="174">
        <f>(AE17*Inputs!$B$60)/907185</f>
        <v>9.259928050469732</v>
      </c>
      <c r="AI17" s="174">
        <f>(AE17*Inputs!$B$62)/907185</f>
        <v>0.8312670274951951</v>
      </c>
      <c r="AJ17" s="421">
        <f>'Avoided Truck Miles'!W17</f>
        <v>0</v>
      </c>
      <c r="AK17" s="174">
        <f>(AJ17*Inputs!$B$61)/907185</f>
        <v>0</v>
      </c>
      <c r="AL17" s="174">
        <f>(AJ17*Inputs!$B$58)/907185</f>
        <v>0</v>
      </c>
      <c r="AM17" s="174">
        <f>(AJ17*Inputs!$B$60)/907185</f>
        <v>0</v>
      </c>
      <c r="AN17" s="174">
        <f>(AJ17*Inputs!$B$62)/907185</f>
        <v>0</v>
      </c>
      <c r="AO17" s="174">
        <f>'Avoided Truck Miles'!T17/(100*100)</f>
        <v>9.346009063023903</v>
      </c>
      <c r="AP17" s="174">
        <f>AO17*Inputs!$B$18</f>
        <v>7009.506797267927</v>
      </c>
      <c r="AQ17" s="174">
        <f>(AP17*Inputs!$B$68)/907185</f>
        <v>0.005046433835911781</v>
      </c>
      <c r="AR17" s="174">
        <f>(AP17*Inputs!$B$69)/907185</f>
        <v>0.0001254809001335242</v>
      </c>
      <c r="AS17" s="174">
        <f t="shared" si="13"/>
        <v>35.53065240201683</v>
      </c>
      <c r="AT17" s="174">
        <f t="shared" si="14"/>
        <v>1.759193011675878</v>
      </c>
      <c r="AU17" s="174">
        <f t="shared" si="15"/>
        <v>9.259928050469732</v>
      </c>
      <c r="AV17" s="215">
        <f t="shared" si="16"/>
        <v>0.8311415465950616</v>
      </c>
      <c r="AW17" s="174">
        <f t="shared" si="4"/>
        <v>37.62510333713606</v>
      </c>
      <c r="AX17" s="174">
        <f t="shared" si="5"/>
        <v>1.862771889650898</v>
      </c>
      <c r="AY17" s="174">
        <f t="shared" si="6"/>
        <v>9.777856102250931</v>
      </c>
      <c r="AZ17" s="215">
        <f t="shared" si="7"/>
        <v>0.8823029107060696</v>
      </c>
    </row>
    <row r="18" spans="1:52" ht="12">
      <c r="A18" s="169">
        <v>13</v>
      </c>
      <c r="B18" s="428">
        <v>2033</v>
      </c>
      <c r="C18" s="214">
        <f>'Avoided Truck Miles'!F18</f>
        <v>329859.1434008436</v>
      </c>
      <c r="D18" s="174">
        <f>(C18*Inputs!$B$61)/907185</f>
        <v>3.3419152510206342</v>
      </c>
      <c r="E18" s="174">
        <f>(C18*Inputs!$B$58)/907185</f>
        <v>0.1654413490604274</v>
      </c>
      <c r="F18" s="174">
        <f>(C18*Inputs!$B$60)/907185</f>
        <v>0.8708396285708212</v>
      </c>
      <c r="G18" s="174">
        <f>(C18*Inputs!$B$62)/907185</f>
        <v>0.0781755825230591</v>
      </c>
      <c r="H18" s="421">
        <f>'Avoided Truck Miles'!G18</f>
        <v>102993.0198745234</v>
      </c>
      <c r="I18" s="174">
        <f>(H18*Inputs!$B$66)/907185</f>
        <v>1.2476984169943421</v>
      </c>
      <c r="J18" s="174">
        <f>(H18*Inputs!$B$63)/907185</f>
        <v>0.061874034327744895</v>
      </c>
      <c r="K18" s="174">
        <f>(H18*Inputs!$B$65)/907185</f>
        <v>0.352965821513686</v>
      </c>
      <c r="L18" s="174">
        <f>(H18*Inputs!$B$67)/907185</f>
        <v>0.027020220495418867</v>
      </c>
      <c r="M18" s="174">
        <f t="shared" si="8"/>
        <v>2.094216834026292</v>
      </c>
      <c r="N18" s="174">
        <f t="shared" si="9"/>
        <v>0.1035673147326825</v>
      </c>
      <c r="O18" s="174">
        <f t="shared" si="10"/>
        <v>0.5178738070571351</v>
      </c>
      <c r="P18" s="215">
        <f t="shared" si="11"/>
        <v>0.05115536202764023</v>
      </c>
      <c r="Q18" s="499">
        <f>'Avoided Truck Miles'!P18</f>
        <v>53</v>
      </c>
      <c r="R18" s="174">
        <f>(Q18*Inputs!$B$61)/907185</f>
        <v>0.0005369610388178817</v>
      </c>
      <c r="S18" s="174">
        <f>(Q18*Inputs!$B$58)/907185</f>
        <v>2.6582229644449592E-05</v>
      </c>
      <c r="T18" s="174">
        <f>(Q18*Inputs!$B$60)/907185</f>
        <v>0.00013992184615045444</v>
      </c>
      <c r="U18" s="174">
        <f>(Q18*Inputs!$B$62)/907185</f>
        <v>1.2560833788036618E-05</v>
      </c>
      <c r="V18" s="501">
        <f>'Avoided Truck Miles'!Q18</f>
        <v>25</v>
      </c>
      <c r="W18" s="174">
        <f>(V18*Inputs!$B$66)/907185</f>
        <v>0.00030285994587653014</v>
      </c>
      <c r="X18" s="174">
        <f>(V18*Inputs!$B$63)/907185</f>
        <v>1.5018987306888894E-05</v>
      </c>
      <c r="Y18" s="174">
        <f>(V18*Inputs!$B$65)/907185</f>
        <v>8.567712208645424E-05</v>
      </c>
      <c r="Z18" s="174">
        <f>(V18*Inputs!$B$67)/907185</f>
        <v>6.5587504202560665E-06</v>
      </c>
      <c r="AA18" s="174">
        <f t="shared" si="12"/>
        <v>0.00023410109294135157</v>
      </c>
      <c r="AB18" s="174">
        <f t="shared" si="1"/>
        <v>1.1563242337560698E-05</v>
      </c>
      <c r="AC18" s="174">
        <f t="shared" si="2"/>
        <v>5.4244724064000195E-05</v>
      </c>
      <c r="AD18" s="425">
        <f t="shared" si="3"/>
        <v>6.002083367780552E-06</v>
      </c>
      <c r="AE18" s="214">
        <f>'Avoided Truck Miles'!X18</f>
        <v>3507502.22482897</v>
      </c>
      <c r="AF18" s="174">
        <f>(AE18*Inputs!$B$61)/907185</f>
        <v>35.53569883585274</v>
      </c>
      <c r="AG18" s="174">
        <f>(AE18*Inputs!$B$58)/907185</f>
        <v>1.759193011675878</v>
      </c>
      <c r="AH18" s="174">
        <f>(AE18*Inputs!$B$60)/907185</f>
        <v>9.259928050469732</v>
      </c>
      <c r="AI18" s="174">
        <f>(AE18*Inputs!$B$62)/907185</f>
        <v>0.8312670274951951</v>
      </c>
      <c r="AJ18" s="421">
        <f>'Avoided Truck Miles'!W18</f>
        <v>0</v>
      </c>
      <c r="AK18" s="174">
        <f>(AJ18*Inputs!$B$61)/907185</f>
        <v>0</v>
      </c>
      <c r="AL18" s="174">
        <f>(AJ18*Inputs!$B$58)/907185</f>
        <v>0</v>
      </c>
      <c r="AM18" s="174">
        <f>(AJ18*Inputs!$B$60)/907185</f>
        <v>0</v>
      </c>
      <c r="AN18" s="174">
        <f>(AJ18*Inputs!$B$62)/907185</f>
        <v>0</v>
      </c>
      <c r="AO18" s="174">
        <f>'Avoided Truck Miles'!T18/(100*100)</f>
        <v>9.346009063023903</v>
      </c>
      <c r="AP18" s="174">
        <f>AO18*Inputs!$B$18</f>
        <v>7009.506797267927</v>
      </c>
      <c r="AQ18" s="174">
        <f>(AP18*Inputs!$B$68)/907185</f>
        <v>0.005046433835911781</v>
      </c>
      <c r="AR18" s="174">
        <f>(AP18*Inputs!$B$69)/907185</f>
        <v>0.0001254809001335242</v>
      </c>
      <c r="AS18" s="174">
        <f t="shared" si="13"/>
        <v>35.53065240201683</v>
      </c>
      <c r="AT18" s="174">
        <f t="shared" si="14"/>
        <v>1.759193011675878</v>
      </c>
      <c r="AU18" s="174">
        <f t="shared" si="15"/>
        <v>9.259928050469732</v>
      </c>
      <c r="AV18" s="215">
        <f t="shared" si="16"/>
        <v>0.8311415465950616</v>
      </c>
      <c r="AW18" s="174">
        <f t="shared" si="4"/>
        <v>37.62510333713606</v>
      </c>
      <c r="AX18" s="174">
        <f t="shared" si="5"/>
        <v>1.862771889650898</v>
      </c>
      <c r="AY18" s="174">
        <f t="shared" si="6"/>
        <v>9.777856102250931</v>
      </c>
      <c r="AZ18" s="215">
        <f t="shared" si="7"/>
        <v>0.8823029107060696</v>
      </c>
    </row>
    <row r="19" spans="1:52" ht="12">
      <c r="A19" s="169">
        <v>14</v>
      </c>
      <c r="B19" s="428">
        <v>2034</v>
      </c>
      <c r="C19" s="214">
        <f>'Avoided Truck Miles'!F19</f>
        <v>329859.1434008436</v>
      </c>
      <c r="D19" s="174">
        <f>(C19*Inputs!$B$61)/907185</f>
        <v>3.3419152510206342</v>
      </c>
      <c r="E19" s="174">
        <f>(C19*Inputs!$B$58)/907185</f>
        <v>0.1654413490604274</v>
      </c>
      <c r="F19" s="174">
        <f>(C19*Inputs!$B$60)/907185</f>
        <v>0.8708396285708212</v>
      </c>
      <c r="G19" s="174">
        <f>(C19*Inputs!$B$62)/907185</f>
        <v>0.0781755825230591</v>
      </c>
      <c r="H19" s="421">
        <f>'Avoided Truck Miles'!G19</f>
        <v>102993.0198745234</v>
      </c>
      <c r="I19" s="174">
        <f>(H19*Inputs!$B$66)/907185</f>
        <v>1.2476984169943421</v>
      </c>
      <c r="J19" s="174">
        <f>(H19*Inputs!$B$63)/907185</f>
        <v>0.061874034327744895</v>
      </c>
      <c r="K19" s="174">
        <f>(H19*Inputs!$B$65)/907185</f>
        <v>0.352965821513686</v>
      </c>
      <c r="L19" s="174">
        <f>(H19*Inputs!$B$67)/907185</f>
        <v>0.027020220495418867</v>
      </c>
      <c r="M19" s="174">
        <f t="shared" si="8"/>
        <v>2.094216834026292</v>
      </c>
      <c r="N19" s="174">
        <f t="shared" si="9"/>
        <v>0.1035673147326825</v>
      </c>
      <c r="O19" s="174">
        <f t="shared" si="10"/>
        <v>0.5178738070571351</v>
      </c>
      <c r="P19" s="215">
        <f t="shared" si="11"/>
        <v>0.05115536202764023</v>
      </c>
      <c r="Q19" s="499">
        <f>'Avoided Truck Miles'!P19</f>
        <v>53</v>
      </c>
      <c r="R19" s="174">
        <f>(Q19*Inputs!$B$61)/907185</f>
        <v>0.0005369610388178817</v>
      </c>
      <c r="S19" s="174">
        <f>(Q19*Inputs!$B$58)/907185</f>
        <v>2.6582229644449592E-05</v>
      </c>
      <c r="T19" s="174">
        <f>(Q19*Inputs!$B$60)/907185</f>
        <v>0.00013992184615045444</v>
      </c>
      <c r="U19" s="174">
        <f>(Q19*Inputs!$B$62)/907185</f>
        <v>1.2560833788036618E-05</v>
      </c>
      <c r="V19" s="501">
        <f>'Avoided Truck Miles'!Q19</f>
        <v>25</v>
      </c>
      <c r="W19" s="174">
        <f>(V19*Inputs!$B$66)/907185</f>
        <v>0.00030285994587653014</v>
      </c>
      <c r="X19" s="174">
        <f>(V19*Inputs!$B$63)/907185</f>
        <v>1.5018987306888894E-05</v>
      </c>
      <c r="Y19" s="174">
        <f>(V19*Inputs!$B$65)/907185</f>
        <v>8.567712208645424E-05</v>
      </c>
      <c r="Z19" s="174">
        <f>(V19*Inputs!$B$67)/907185</f>
        <v>6.5587504202560665E-06</v>
      </c>
      <c r="AA19" s="174">
        <f t="shared" si="12"/>
        <v>0.00023410109294135157</v>
      </c>
      <c r="AB19" s="174">
        <f t="shared" si="1"/>
        <v>1.1563242337560698E-05</v>
      </c>
      <c r="AC19" s="174">
        <f t="shared" si="2"/>
        <v>5.4244724064000195E-05</v>
      </c>
      <c r="AD19" s="425">
        <f t="shared" si="3"/>
        <v>6.002083367780552E-06</v>
      </c>
      <c r="AE19" s="214">
        <f>'Avoided Truck Miles'!X19</f>
        <v>3507502.22482897</v>
      </c>
      <c r="AF19" s="174">
        <f>(AE19*Inputs!$B$61)/907185</f>
        <v>35.53569883585274</v>
      </c>
      <c r="AG19" s="174">
        <f>(AE19*Inputs!$B$58)/907185</f>
        <v>1.759193011675878</v>
      </c>
      <c r="AH19" s="174">
        <f>(AE19*Inputs!$B$60)/907185</f>
        <v>9.259928050469732</v>
      </c>
      <c r="AI19" s="174">
        <f>(AE19*Inputs!$B$62)/907185</f>
        <v>0.8312670274951951</v>
      </c>
      <c r="AJ19" s="421">
        <f>'Avoided Truck Miles'!W19</f>
        <v>0</v>
      </c>
      <c r="AK19" s="174">
        <f>(AJ19*Inputs!$B$61)/907185</f>
        <v>0</v>
      </c>
      <c r="AL19" s="174">
        <f>(AJ19*Inputs!$B$58)/907185</f>
        <v>0</v>
      </c>
      <c r="AM19" s="174">
        <f>(AJ19*Inputs!$B$60)/907185</f>
        <v>0</v>
      </c>
      <c r="AN19" s="174">
        <f>(AJ19*Inputs!$B$62)/907185</f>
        <v>0</v>
      </c>
      <c r="AO19" s="174">
        <f>'Avoided Truck Miles'!T19/(100*100)</f>
        <v>9.346009063023903</v>
      </c>
      <c r="AP19" s="174">
        <f>AO19*Inputs!$B$18</f>
        <v>7009.506797267927</v>
      </c>
      <c r="AQ19" s="174">
        <f>(AP19*Inputs!$B$68)/907185</f>
        <v>0.005046433835911781</v>
      </c>
      <c r="AR19" s="174">
        <f>(AP19*Inputs!$B$69)/907185</f>
        <v>0.0001254809001335242</v>
      </c>
      <c r="AS19" s="174">
        <f t="shared" si="13"/>
        <v>35.53065240201683</v>
      </c>
      <c r="AT19" s="174">
        <f t="shared" si="14"/>
        <v>1.759193011675878</v>
      </c>
      <c r="AU19" s="174">
        <f t="shared" si="15"/>
        <v>9.259928050469732</v>
      </c>
      <c r="AV19" s="215">
        <f t="shared" si="16"/>
        <v>0.8311415465950616</v>
      </c>
      <c r="AW19" s="174">
        <f t="shared" si="4"/>
        <v>37.62510333713606</v>
      </c>
      <c r="AX19" s="174">
        <f t="shared" si="5"/>
        <v>1.862771889650898</v>
      </c>
      <c r="AY19" s="174">
        <f t="shared" si="6"/>
        <v>9.777856102250931</v>
      </c>
      <c r="AZ19" s="215">
        <f t="shared" si="7"/>
        <v>0.8823029107060696</v>
      </c>
    </row>
    <row r="20" spans="1:52" ht="12">
      <c r="A20" s="169">
        <v>15</v>
      </c>
      <c r="B20" s="428">
        <v>2035</v>
      </c>
      <c r="C20" s="214">
        <f>'Avoided Truck Miles'!F20</f>
        <v>329859.1434008436</v>
      </c>
      <c r="D20" s="174">
        <f>(C20*Inputs!$B$61)/907185</f>
        <v>3.3419152510206342</v>
      </c>
      <c r="E20" s="174">
        <f>(C20*Inputs!$B$58)/907185</f>
        <v>0.1654413490604274</v>
      </c>
      <c r="F20" s="174">
        <f>(C20*Inputs!$B$60)/907185</f>
        <v>0.8708396285708212</v>
      </c>
      <c r="G20" s="174">
        <f>(C20*Inputs!$B$62)/907185</f>
        <v>0.0781755825230591</v>
      </c>
      <c r="H20" s="421">
        <f>'Avoided Truck Miles'!G20</f>
        <v>102993.0198745234</v>
      </c>
      <c r="I20" s="174">
        <f>(H20*Inputs!$B$66)/907185</f>
        <v>1.2476984169943421</v>
      </c>
      <c r="J20" s="174">
        <f>(H20*Inputs!$B$63)/907185</f>
        <v>0.061874034327744895</v>
      </c>
      <c r="K20" s="174">
        <f>(H20*Inputs!$B$65)/907185</f>
        <v>0.352965821513686</v>
      </c>
      <c r="L20" s="174">
        <f>(H20*Inputs!$B$67)/907185</f>
        <v>0.027020220495418867</v>
      </c>
      <c r="M20" s="174">
        <f t="shared" si="8"/>
        <v>2.094216834026292</v>
      </c>
      <c r="N20" s="174">
        <f t="shared" si="9"/>
        <v>0.1035673147326825</v>
      </c>
      <c r="O20" s="174">
        <f t="shared" si="10"/>
        <v>0.5178738070571351</v>
      </c>
      <c r="P20" s="215">
        <f t="shared" si="11"/>
        <v>0.05115536202764023</v>
      </c>
      <c r="Q20" s="499">
        <f>'Avoided Truck Miles'!P20</f>
        <v>53</v>
      </c>
      <c r="R20" s="174">
        <f>(Q20*Inputs!$B$61)/907185</f>
        <v>0.0005369610388178817</v>
      </c>
      <c r="S20" s="174">
        <f>(Q20*Inputs!$B$58)/907185</f>
        <v>2.6582229644449592E-05</v>
      </c>
      <c r="T20" s="174">
        <f>(Q20*Inputs!$B$60)/907185</f>
        <v>0.00013992184615045444</v>
      </c>
      <c r="U20" s="174">
        <f>(Q20*Inputs!$B$62)/907185</f>
        <v>1.2560833788036618E-05</v>
      </c>
      <c r="V20" s="501">
        <f>'Avoided Truck Miles'!Q20</f>
        <v>25</v>
      </c>
      <c r="W20" s="174">
        <f>(V20*Inputs!$B$66)/907185</f>
        <v>0.00030285994587653014</v>
      </c>
      <c r="X20" s="174">
        <f>(V20*Inputs!$B$63)/907185</f>
        <v>1.5018987306888894E-05</v>
      </c>
      <c r="Y20" s="174">
        <f>(V20*Inputs!$B$65)/907185</f>
        <v>8.567712208645424E-05</v>
      </c>
      <c r="Z20" s="174">
        <f>(V20*Inputs!$B$67)/907185</f>
        <v>6.5587504202560665E-06</v>
      </c>
      <c r="AA20" s="174">
        <f t="shared" si="12"/>
        <v>0.00023410109294135157</v>
      </c>
      <c r="AB20" s="174">
        <f t="shared" si="1"/>
        <v>1.1563242337560698E-05</v>
      </c>
      <c r="AC20" s="174">
        <f t="shared" si="2"/>
        <v>5.4244724064000195E-05</v>
      </c>
      <c r="AD20" s="425">
        <f t="shared" si="3"/>
        <v>6.002083367780552E-06</v>
      </c>
      <c r="AE20" s="214">
        <f>'Avoided Truck Miles'!X20</f>
        <v>3507502.22482897</v>
      </c>
      <c r="AF20" s="174">
        <f>(AE20*Inputs!$B$61)/907185</f>
        <v>35.53569883585274</v>
      </c>
      <c r="AG20" s="174">
        <f>(AE20*Inputs!$B$58)/907185</f>
        <v>1.759193011675878</v>
      </c>
      <c r="AH20" s="174">
        <f>(AE20*Inputs!$B$60)/907185</f>
        <v>9.259928050469732</v>
      </c>
      <c r="AI20" s="174">
        <f>(AE20*Inputs!$B$62)/907185</f>
        <v>0.8312670274951951</v>
      </c>
      <c r="AJ20" s="421">
        <f>'Avoided Truck Miles'!W20</f>
        <v>0</v>
      </c>
      <c r="AK20" s="174">
        <f>(AJ20*Inputs!$B$61)/907185</f>
        <v>0</v>
      </c>
      <c r="AL20" s="174">
        <f>(AJ20*Inputs!$B$58)/907185</f>
        <v>0</v>
      </c>
      <c r="AM20" s="174">
        <f>(AJ20*Inputs!$B$60)/907185</f>
        <v>0</v>
      </c>
      <c r="AN20" s="174">
        <f>(AJ20*Inputs!$B$62)/907185</f>
        <v>0</v>
      </c>
      <c r="AO20" s="174">
        <f>'Avoided Truck Miles'!T20/(100*100)</f>
        <v>9.346009063023903</v>
      </c>
      <c r="AP20" s="174">
        <f>AO20*Inputs!$B$18</f>
        <v>7009.506797267927</v>
      </c>
      <c r="AQ20" s="174">
        <f>(AP20*Inputs!$B$68)/907185</f>
        <v>0.005046433835911781</v>
      </c>
      <c r="AR20" s="174">
        <f>(AP20*Inputs!$B$69)/907185</f>
        <v>0.0001254809001335242</v>
      </c>
      <c r="AS20" s="174">
        <f t="shared" si="13"/>
        <v>35.53065240201683</v>
      </c>
      <c r="AT20" s="174">
        <f t="shared" si="14"/>
        <v>1.759193011675878</v>
      </c>
      <c r="AU20" s="174">
        <f t="shared" si="15"/>
        <v>9.259928050469732</v>
      </c>
      <c r="AV20" s="215">
        <f t="shared" si="16"/>
        <v>0.8311415465950616</v>
      </c>
      <c r="AW20" s="174">
        <f t="shared" si="4"/>
        <v>37.62510333713606</v>
      </c>
      <c r="AX20" s="174">
        <f t="shared" si="5"/>
        <v>1.862771889650898</v>
      </c>
      <c r="AY20" s="174">
        <f t="shared" si="6"/>
        <v>9.777856102250931</v>
      </c>
      <c r="AZ20" s="215">
        <f t="shared" si="7"/>
        <v>0.8823029107060696</v>
      </c>
    </row>
    <row r="21" spans="1:52" ht="12">
      <c r="A21" s="169">
        <v>16</v>
      </c>
      <c r="B21" s="428">
        <v>2036</v>
      </c>
      <c r="C21" s="214">
        <f>'Avoided Truck Miles'!F21</f>
        <v>329859.1434008436</v>
      </c>
      <c r="D21" s="174">
        <f>(C21*Inputs!$B$61)/907185</f>
        <v>3.3419152510206342</v>
      </c>
      <c r="E21" s="174">
        <f>(C21*Inputs!$B$58)/907185</f>
        <v>0.1654413490604274</v>
      </c>
      <c r="F21" s="174">
        <f>(C21*Inputs!$B$60)/907185</f>
        <v>0.8708396285708212</v>
      </c>
      <c r="G21" s="174">
        <f>(C21*Inputs!$B$62)/907185</f>
        <v>0.0781755825230591</v>
      </c>
      <c r="H21" s="421">
        <f>'Avoided Truck Miles'!G21</f>
        <v>102993.0198745234</v>
      </c>
      <c r="I21" s="174">
        <f>(H21*Inputs!$B$66)/907185</f>
        <v>1.2476984169943421</v>
      </c>
      <c r="J21" s="174">
        <f>(H21*Inputs!$B$63)/907185</f>
        <v>0.061874034327744895</v>
      </c>
      <c r="K21" s="174">
        <f>(H21*Inputs!$B$65)/907185</f>
        <v>0.352965821513686</v>
      </c>
      <c r="L21" s="174">
        <f>(H21*Inputs!$B$67)/907185</f>
        <v>0.027020220495418867</v>
      </c>
      <c r="M21" s="174">
        <f t="shared" si="8"/>
        <v>2.094216834026292</v>
      </c>
      <c r="N21" s="174">
        <f t="shared" si="9"/>
        <v>0.1035673147326825</v>
      </c>
      <c r="O21" s="174">
        <f t="shared" si="10"/>
        <v>0.5178738070571351</v>
      </c>
      <c r="P21" s="215">
        <f t="shared" si="11"/>
        <v>0.05115536202764023</v>
      </c>
      <c r="Q21" s="499">
        <f>'Avoided Truck Miles'!P21</f>
        <v>53</v>
      </c>
      <c r="R21" s="174">
        <f>(Q21*Inputs!$B$61)/907185</f>
        <v>0.0005369610388178817</v>
      </c>
      <c r="S21" s="174">
        <f>(Q21*Inputs!$B$58)/907185</f>
        <v>2.6582229644449592E-05</v>
      </c>
      <c r="T21" s="174">
        <f>(Q21*Inputs!$B$60)/907185</f>
        <v>0.00013992184615045444</v>
      </c>
      <c r="U21" s="174">
        <f>(Q21*Inputs!$B$62)/907185</f>
        <v>1.2560833788036618E-05</v>
      </c>
      <c r="V21" s="501">
        <f>'Avoided Truck Miles'!Q21</f>
        <v>25</v>
      </c>
      <c r="W21" s="174">
        <f>(V21*Inputs!$B$66)/907185</f>
        <v>0.00030285994587653014</v>
      </c>
      <c r="X21" s="174">
        <f>(V21*Inputs!$B$63)/907185</f>
        <v>1.5018987306888894E-05</v>
      </c>
      <c r="Y21" s="174">
        <f>(V21*Inputs!$B$65)/907185</f>
        <v>8.567712208645424E-05</v>
      </c>
      <c r="Z21" s="174">
        <f>(V21*Inputs!$B$67)/907185</f>
        <v>6.5587504202560665E-06</v>
      </c>
      <c r="AA21" s="174">
        <f t="shared" si="12"/>
        <v>0.00023410109294135157</v>
      </c>
      <c r="AB21" s="174">
        <f t="shared" si="1"/>
        <v>1.1563242337560698E-05</v>
      </c>
      <c r="AC21" s="174">
        <f t="shared" si="2"/>
        <v>5.4244724064000195E-05</v>
      </c>
      <c r="AD21" s="425">
        <f t="shared" si="3"/>
        <v>6.002083367780552E-06</v>
      </c>
      <c r="AE21" s="214">
        <f>'Avoided Truck Miles'!X21</f>
        <v>3507502.22482897</v>
      </c>
      <c r="AF21" s="174">
        <f>(AE21*Inputs!$B$61)/907185</f>
        <v>35.53569883585274</v>
      </c>
      <c r="AG21" s="174">
        <f>(AE21*Inputs!$B$58)/907185</f>
        <v>1.759193011675878</v>
      </c>
      <c r="AH21" s="174">
        <f>(AE21*Inputs!$B$60)/907185</f>
        <v>9.259928050469732</v>
      </c>
      <c r="AI21" s="174">
        <f>(AE21*Inputs!$B$62)/907185</f>
        <v>0.8312670274951951</v>
      </c>
      <c r="AJ21" s="421">
        <f>'Avoided Truck Miles'!W21</f>
        <v>0</v>
      </c>
      <c r="AK21" s="174">
        <f>(AJ21*Inputs!$B$61)/907185</f>
        <v>0</v>
      </c>
      <c r="AL21" s="174">
        <f>(AJ21*Inputs!$B$58)/907185</f>
        <v>0</v>
      </c>
      <c r="AM21" s="174">
        <f>(AJ21*Inputs!$B$60)/907185</f>
        <v>0</v>
      </c>
      <c r="AN21" s="174">
        <f>(AJ21*Inputs!$B$62)/907185</f>
        <v>0</v>
      </c>
      <c r="AO21" s="174">
        <f>'Avoided Truck Miles'!T21/(100*100)</f>
        <v>9.346009063023903</v>
      </c>
      <c r="AP21" s="174">
        <f>AO21*Inputs!$B$18</f>
        <v>7009.506797267927</v>
      </c>
      <c r="AQ21" s="174">
        <f>(AP21*Inputs!$B$68)/907185</f>
        <v>0.005046433835911781</v>
      </c>
      <c r="AR21" s="174">
        <f>(AP21*Inputs!$B$69)/907185</f>
        <v>0.0001254809001335242</v>
      </c>
      <c r="AS21" s="174">
        <f t="shared" si="13"/>
        <v>35.53065240201683</v>
      </c>
      <c r="AT21" s="174">
        <f t="shared" si="14"/>
        <v>1.759193011675878</v>
      </c>
      <c r="AU21" s="174">
        <f t="shared" si="15"/>
        <v>9.259928050469732</v>
      </c>
      <c r="AV21" s="215">
        <f t="shared" si="16"/>
        <v>0.8311415465950616</v>
      </c>
      <c r="AW21" s="174">
        <f t="shared" si="4"/>
        <v>37.62510333713606</v>
      </c>
      <c r="AX21" s="174">
        <f t="shared" si="5"/>
        <v>1.862771889650898</v>
      </c>
      <c r="AY21" s="174">
        <f t="shared" si="6"/>
        <v>9.777856102250931</v>
      </c>
      <c r="AZ21" s="215">
        <f t="shared" si="7"/>
        <v>0.8823029107060696</v>
      </c>
    </row>
    <row r="22" spans="1:52" ht="12">
      <c r="A22" s="169">
        <v>17</v>
      </c>
      <c r="B22" s="428">
        <v>2037</v>
      </c>
      <c r="C22" s="214">
        <f>'Avoided Truck Miles'!F22</f>
        <v>329859.1434008436</v>
      </c>
      <c r="D22" s="174">
        <f>(C22*Inputs!$B$61)/907185</f>
        <v>3.3419152510206342</v>
      </c>
      <c r="E22" s="174">
        <f>(C22*Inputs!$B$58)/907185</f>
        <v>0.1654413490604274</v>
      </c>
      <c r="F22" s="174">
        <f>(C22*Inputs!$B$60)/907185</f>
        <v>0.8708396285708212</v>
      </c>
      <c r="G22" s="174">
        <f>(C22*Inputs!$B$62)/907185</f>
        <v>0.0781755825230591</v>
      </c>
      <c r="H22" s="421">
        <f>'Avoided Truck Miles'!G22</f>
        <v>102993.0198745234</v>
      </c>
      <c r="I22" s="174">
        <f>(H22*Inputs!$B$66)/907185</f>
        <v>1.2476984169943421</v>
      </c>
      <c r="J22" s="174">
        <f>(H22*Inputs!$B$63)/907185</f>
        <v>0.061874034327744895</v>
      </c>
      <c r="K22" s="174">
        <f>(H22*Inputs!$B$65)/907185</f>
        <v>0.352965821513686</v>
      </c>
      <c r="L22" s="174">
        <f>(H22*Inputs!$B$67)/907185</f>
        <v>0.027020220495418867</v>
      </c>
      <c r="M22" s="174">
        <f t="shared" si="8"/>
        <v>2.094216834026292</v>
      </c>
      <c r="N22" s="174">
        <f t="shared" si="9"/>
        <v>0.1035673147326825</v>
      </c>
      <c r="O22" s="174">
        <f t="shared" si="10"/>
        <v>0.5178738070571351</v>
      </c>
      <c r="P22" s="215">
        <f t="shared" si="11"/>
        <v>0.05115536202764023</v>
      </c>
      <c r="Q22" s="499">
        <f>'Avoided Truck Miles'!P22</f>
        <v>53</v>
      </c>
      <c r="R22" s="174">
        <f>(Q22*Inputs!$B$61)/907185</f>
        <v>0.0005369610388178817</v>
      </c>
      <c r="S22" s="174">
        <f>(Q22*Inputs!$B$58)/907185</f>
        <v>2.6582229644449592E-05</v>
      </c>
      <c r="T22" s="174">
        <f>(Q22*Inputs!$B$60)/907185</f>
        <v>0.00013992184615045444</v>
      </c>
      <c r="U22" s="174">
        <f>(Q22*Inputs!$B$62)/907185</f>
        <v>1.2560833788036618E-05</v>
      </c>
      <c r="V22" s="501">
        <f>'Avoided Truck Miles'!Q22</f>
        <v>25</v>
      </c>
      <c r="W22" s="174">
        <f>(V22*Inputs!$B$66)/907185</f>
        <v>0.00030285994587653014</v>
      </c>
      <c r="X22" s="174">
        <f>(V22*Inputs!$B$63)/907185</f>
        <v>1.5018987306888894E-05</v>
      </c>
      <c r="Y22" s="174">
        <f>(V22*Inputs!$B$65)/907185</f>
        <v>8.567712208645424E-05</v>
      </c>
      <c r="Z22" s="174">
        <f>(V22*Inputs!$B$67)/907185</f>
        <v>6.5587504202560665E-06</v>
      </c>
      <c r="AA22" s="174">
        <f t="shared" si="12"/>
        <v>0.00023410109294135157</v>
      </c>
      <c r="AB22" s="174">
        <f t="shared" si="1"/>
        <v>1.1563242337560698E-05</v>
      </c>
      <c r="AC22" s="174">
        <f t="shared" si="2"/>
        <v>5.4244724064000195E-05</v>
      </c>
      <c r="AD22" s="425">
        <f t="shared" si="3"/>
        <v>6.002083367780552E-06</v>
      </c>
      <c r="AE22" s="214">
        <f>'Avoided Truck Miles'!X22</f>
        <v>3507502.22482897</v>
      </c>
      <c r="AF22" s="174">
        <f>(AE22*Inputs!$B$61)/907185</f>
        <v>35.53569883585274</v>
      </c>
      <c r="AG22" s="174">
        <f>(AE22*Inputs!$B$58)/907185</f>
        <v>1.759193011675878</v>
      </c>
      <c r="AH22" s="174">
        <f>(AE22*Inputs!$B$60)/907185</f>
        <v>9.259928050469732</v>
      </c>
      <c r="AI22" s="174">
        <f>(AE22*Inputs!$B$62)/907185</f>
        <v>0.8312670274951951</v>
      </c>
      <c r="AJ22" s="421">
        <f>'Avoided Truck Miles'!W22</f>
        <v>0</v>
      </c>
      <c r="AK22" s="174">
        <f>(AJ22*Inputs!$B$61)/907185</f>
        <v>0</v>
      </c>
      <c r="AL22" s="174">
        <f>(AJ22*Inputs!$B$58)/907185</f>
        <v>0</v>
      </c>
      <c r="AM22" s="174">
        <f>(AJ22*Inputs!$B$60)/907185</f>
        <v>0</v>
      </c>
      <c r="AN22" s="174">
        <f>(AJ22*Inputs!$B$62)/907185</f>
        <v>0</v>
      </c>
      <c r="AO22" s="174">
        <f>'Avoided Truck Miles'!T22/(100*100)</f>
        <v>9.346009063023903</v>
      </c>
      <c r="AP22" s="174">
        <f>AO22*Inputs!$B$18</f>
        <v>7009.506797267927</v>
      </c>
      <c r="AQ22" s="174">
        <f>(AP22*Inputs!$B$68)/907185</f>
        <v>0.005046433835911781</v>
      </c>
      <c r="AR22" s="174">
        <f>(AP22*Inputs!$B$69)/907185</f>
        <v>0.0001254809001335242</v>
      </c>
      <c r="AS22" s="174">
        <f t="shared" si="13"/>
        <v>35.53065240201683</v>
      </c>
      <c r="AT22" s="174">
        <f t="shared" si="14"/>
        <v>1.759193011675878</v>
      </c>
      <c r="AU22" s="174">
        <f t="shared" si="15"/>
        <v>9.259928050469732</v>
      </c>
      <c r="AV22" s="215">
        <f t="shared" si="16"/>
        <v>0.8311415465950616</v>
      </c>
      <c r="AW22" s="174">
        <f t="shared" si="4"/>
        <v>37.62510333713606</v>
      </c>
      <c r="AX22" s="174">
        <f t="shared" si="5"/>
        <v>1.862771889650898</v>
      </c>
      <c r="AY22" s="174">
        <f t="shared" si="6"/>
        <v>9.777856102250931</v>
      </c>
      <c r="AZ22" s="215">
        <f t="shared" si="7"/>
        <v>0.8823029107060696</v>
      </c>
    </row>
    <row r="23" spans="1:52" ht="12">
      <c r="A23" s="169">
        <v>18</v>
      </c>
      <c r="B23" s="428">
        <v>2038</v>
      </c>
      <c r="C23" s="214">
        <f>'Avoided Truck Miles'!F23</f>
        <v>329859.1434008436</v>
      </c>
      <c r="D23" s="174">
        <f>(C23*Inputs!$B$61)/907185</f>
        <v>3.3419152510206342</v>
      </c>
      <c r="E23" s="174">
        <f>(C23*Inputs!$B$58)/907185</f>
        <v>0.1654413490604274</v>
      </c>
      <c r="F23" s="174">
        <f>(C23*Inputs!$B$60)/907185</f>
        <v>0.8708396285708212</v>
      </c>
      <c r="G23" s="174">
        <f>(C23*Inputs!$B$62)/907185</f>
        <v>0.0781755825230591</v>
      </c>
      <c r="H23" s="421">
        <f>'Avoided Truck Miles'!G23</f>
        <v>102993.0198745234</v>
      </c>
      <c r="I23" s="174">
        <f>(H23*Inputs!$B$66)/907185</f>
        <v>1.2476984169943421</v>
      </c>
      <c r="J23" s="174">
        <f>(H23*Inputs!$B$63)/907185</f>
        <v>0.061874034327744895</v>
      </c>
      <c r="K23" s="174">
        <f>(H23*Inputs!$B$65)/907185</f>
        <v>0.352965821513686</v>
      </c>
      <c r="L23" s="174">
        <f>(H23*Inputs!$B$67)/907185</f>
        <v>0.027020220495418867</v>
      </c>
      <c r="M23" s="174">
        <f t="shared" si="8"/>
        <v>2.094216834026292</v>
      </c>
      <c r="N23" s="174">
        <f t="shared" si="9"/>
        <v>0.1035673147326825</v>
      </c>
      <c r="O23" s="174">
        <f t="shared" si="10"/>
        <v>0.5178738070571351</v>
      </c>
      <c r="P23" s="215">
        <f t="shared" si="11"/>
        <v>0.05115536202764023</v>
      </c>
      <c r="Q23" s="499">
        <f>'Avoided Truck Miles'!P23</f>
        <v>53</v>
      </c>
      <c r="R23" s="174">
        <f>(Q23*Inputs!$B$61)/907185</f>
        <v>0.0005369610388178817</v>
      </c>
      <c r="S23" s="174">
        <f>(Q23*Inputs!$B$58)/907185</f>
        <v>2.6582229644449592E-05</v>
      </c>
      <c r="T23" s="174">
        <f>(Q23*Inputs!$B$60)/907185</f>
        <v>0.00013992184615045444</v>
      </c>
      <c r="U23" s="174">
        <f>(Q23*Inputs!$B$62)/907185</f>
        <v>1.2560833788036618E-05</v>
      </c>
      <c r="V23" s="501">
        <f>'Avoided Truck Miles'!Q23</f>
        <v>25</v>
      </c>
      <c r="W23" s="174">
        <f>(V23*Inputs!$B$66)/907185</f>
        <v>0.00030285994587653014</v>
      </c>
      <c r="X23" s="174">
        <f>(V23*Inputs!$B$63)/907185</f>
        <v>1.5018987306888894E-05</v>
      </c>
      <c r="Y23" s="174">
        <f>(V23*Inputs!$B$65)/907185</f>
        <v>8.567712208645424E-05</v>
      </c>
      <c r="Z23" s="174">
        <f>(V23*Inputs!$B$67)/907185</f>
        <v>6.5587504202560665E-06</v>
      </c>
      <c r="AA23" s="174">
        <f t="shared" si="12"/>
        <v>0.00023410109294135157</v>
      </c>
      <c r="AB23" s="174">
        <f t="shared" si="1"/>
        <v>1.1563242337560698E-05</v>
      </c>
      <c r="AC23" s="174">
        <f t="shared" si="2"/>
        <v>5.4244724064000195E-05</v>
      </c>
      <c r="AD23" s="425">
        <f t="shared" si="3"/>
        <v>6.002083367780552E-06</v>
      </c>
      <c r="AE23" s="214">
        <f>'Avoided Truck Miles'!X23</f>
        <v>3507502.22482897</v>
      </c>
      <c r="AF23" s="174">
        <f>(AE23*Inputs!$B$61)/907185</f>
        <v>35.53569883585274</v>
      </c>
      <c r="AG23" s="174">
        <f>(AE23*Inputs!$B$58)/907185</f>
        <v>1.759193011675878</v>
      </c>
      <c r="AH23" s="174">
        <f>(AE23*Inputs!$B$60)/907185</f>
        <v>9.259928050469732</v>
      </c>
      <c r="AI23" s="174">
        <f>(AE23*Inputs!$B$62)/907185</f>
        <v>0.8312670274951951</v>
      </c>
      <c r="AJ23" s="421">
        <f>'Avoided Truck Miles'!W23</f>
        <v>0</v>
      </c>
      <c r="AK23" s="174">
        <f>(AJ23*Inputs!$B$61)/907185</f>
        <v>0</v>
      </c>
      <c r="AL23" s="174">
        <f>(AJ23*Inputs!$B$58)/907185</f>
        <v>0</v>
      </c>
      <c r="AM23" s="174">
        <f>(AJ23*Inputs!$B$60)/907185</f>
        <v>0</v>
      </c>
      <c r="AN23" s="174">
        <f>(AJ23*Inputs!$B$62)/907185</f>
        <v>0</v>
      </c>
      <c r="AO23" s="174">
        <f>'Avoided Truck Miles'!T23/(100*100)</f>
        <v>9.346009063023903</v>
      </c>
      <c r="AP23" s="174">
        <f>AO23*Inputs!$B$18</f>
        <v>7009.506797267927</v>
      </c>
      <c r="AQ23" s="174">
        <f>(AP23*Inputs!$B$68)/907185</f>
        <v>0.005046433835911781</v>
      </c>
      <c r="AR23" s="174">
        <f>(AP23*Inputs!$B$69)/907185</f>
        <v>0.0001254809001335242</v>
      </c>
      <c r="AS23" s="174">
        <f t="shared" si="13"/>
        <v>35.53065240201683</v>
      </c>
      <c r="AT23" s="174">
        <f t="shared" si="14"/>
        <v>1.759193011675878</v>
      </c>
      <c r="AU23" s="174">
        <f t="shared" si="15"/>
        <v>9.259928050469732</v>
      </c>
      <c r="AV23" s="215">
        <f t="shared" si="16"/>
        <v>0.8311415465950616</v>
      </c>
      <c r="AW23" s="174">
        <f t="shared" si="4"/>
        <v>37.62510333713606</v>
      </c>
      <c r="AX23" s="174">
        <f t="shared" si="5"/>
        <v>1.862771889650898</v>
      </c>
      <c r="AY23" s="174">
        <f t="shared" si="6"/>
        <v>9.777856102250931</v>
      </c>
      <c r="AZ23" s="215">
        <f t="shared" si="7"/>
        <v>0.8823029107060696</v>
      </c>
    </row>
    <row r="24" spans="1:52" ht="12">
      <c r="A24" s="169">
        <v>19</v>
      </c>
      <c r="B24" s="428">
        <v>2039</v>
      </c>
      <c r="C24" s="214">
        <f>'Avoided Truck Miles'!F24</f>
        <v>329859.1434008436</v>
      </c>
      <c r="D24" s="174">
        <f>(C24*Inputs!$B$61)/907185</f>
        <v>3.3419152510206342</v>
      </c>
      <c r="E24" s="174">
        <f>(C24*Inputs!$B$58)/907185</f>
        <v>0.1654413490604274</v>
      </c>
      <c r="F24" s="174">
        <f>(C24*Inputs!$B$60)/907185</f>
        <v>0.8708396285708212</v>
      </c>
      <c r="G24" s="174">
        <f>(C24*Inputs!$B$62)/907185</f>
        <v>0.0781755825230591</v>
      </c>
      <c r="H24" s="421">
        <f>'Avoided Truck Miles'!G24</f>
        <v>102993.0198745234</v>
      </c>
      <c r="I24" s="174">
        <f>(H24*Inputs!$B$66)/907185</f>
        <v>1.2476984169943421</v>
      </c>
      <c r="J24" s="174">
        <f>(H24*Inputs!$B$63)/907185</f>
        <v>0.061874034327744895</v>
      </c>
      <c r="K24" s="174">
        <f>(H24*Inputs!$B$65)/907185</f>
        <v>0.352965821513686</v>
      </c>
      <c r="L24" s="174">
        <f>(H24*Inputs!$B$67)/907185</f>
        <v>0.027020220495418867</v>
      </c>
      <c r="M24" s="174">
        <f t="shared" si="8"/>
        <v>2.094216834026292</v>
      </c>
      <c r="N24" s="174">
        <f t="shared" si="9"/>
        <v>0.1035673147326825</v>
      </c>
      <c r="O24" s="174">
        <f t="shared" si="10"/>
        <v>0.5178738070571351</v>
      </c>
      <c r="P24" s="215">
        <f t="shared" si="11"/>
        <v>0.05115536202764023</v>
      </c>
      <c r="Q24" s="499">
        <f>'Avoided Truck Miles'!P24</f>
        <v>53</v>
      </c>
      <c r="R24" s="174">
        <f>(Q24*Inputs!$B$61)/907185</f>
        <v>0.0005369610388178817</v>
      </c>
      <c r="S24" s="174">
        <f>(Q24*Inputs!$B$58)/907185</f>
        <v>2.6582229644449592E-05</v>
      </c>
      <c r="T24" s="174">
        <f>(Q24*Inputs!$B$60)/907185</f>
        <v>0.00013992184615045444</v>
      </c>
      <c r="U24" s="174">
        <f>(Q24*Inputs!$B$62)/907185</f>
        <v>1.2560833788036618E-05</v>
      </c>
      <c r="V24" s="501">
        <f>'Avoided Truck Miles'!Q24</f>
        <v>25</v>
      </c>
      <c r="W24" s="174">
        <f>(V24*Inputs!$B$66)/907185</f>
        <v>0.00030285994587653014</v>
      </c>
      <c r="X24" s="174">
        <f>(V24*Inputs!$B$63)/907185</f>
        <v>1.5018987306888894E-05</v>
      </c>
      <c r="Y24" s="174">
        <f>(V24*Inputs!$B$65)/907185</f>
        <v>8.567712208645424E-05</v>
      </c>
      <c r="Z24" s="174">
        <f>(V24*Inputs!$B$67)/907185</f>
        <v>6.5587504202560665E-06</v>
      </c>
      <c r="AA24" s="174">
        <f t="shared" si="12"/>
        <v>0.00023410109294135157</v>
      </c>
      <c r="AB24" s="174">
        <f t="shared" si="1"/>
        <v>1.1563242337560698E-05</v>
      </c>
      <c r="AC24" s="174">
        <f t="shared" si="2"/>
        <v>5.4244724064000195E-05</v>
      </c>
      <c r="AD24" s="425">
        <f t="shared" si="3"/>
        <v>6.002083367780552E-06</v>
      </c>
      <c r="AE24" s="214">
        <f>'Avoided Truck Miles'!X24</f>
        <v>3507502.22482897</v>
      </c>
      <c r="AF24" s="174">
        <f>(AE24*Inputs!$B$61)/907185</f>
        <v>35.53569883585274</v>
      </c>
      <c r="AG24" s="174">
        <f>(AE24*Inputs!$B$58)/907185</f>
        <v>1.759193011675878</v>
      </c>
      <c r="AH24" s="174">
        <f>(AE24*Inputs!$B$60)/907185</f>
        <v>9.259928050469732</v>
      </c>
      <c r="AI24" s="174">
        <f>(AE24*Inputs!$B$62)/907185</f>
        <v>0.8312670274951951</v>
      </c>
      <c r="AJ24" s="421">
        <f>'Avoided Truck Miles'!W24</f>
        <v>0</v>
      </c>
      <c r="AK24" s="174">
        <f>(AJ24*Inputs!$B$61)/907185</f>
        <v>0</v>
      </c>
      <c r="AL24" s="174">
        <f>(AJ24*Inputs!$B$58)/907185</f>
        <v>0</v>
      </c>
      <c r="AM24" s="174">
        <f>(AJ24*Inputs!$B$60)/907185</f>
        <v>0</v>
      </c>
      <c r="AN24" s="174">
        <f>(AJ24*Inputs!$B$62)/907185</f>
        <v>0</v>
      </c>
      <c r="AO24" s="174">
        <f>'Avoided Truck Miles'!T24/(100*100)</f>
        <v>9.346009063023903</v>
      </c>
      <c r="AP24" s="174">
        <f>AO24*Inputs!$B$18</f>
        <v>7009.506797267927</v>
      </c>
      <c r="AQ24" s="174">
        <f>(AP24*Inputs!$B$68)/907185</f>
        <v>0.005046433835911781</v>
      </c>
      <c r="AR24" s="174">
        <f>(AP24*Inputs!$B$69)/907185</f>
        <v>0.0001254809001335242</v>
      </c>
      <c r="AS24" s="174">
        <f t="shared" si="13"/>
        <v>35.53065240201683</v>
      </c>
      <c r="AT24" s="174">
        <f t="shared" si="14"/>
        <v>1.759193011675878</v>
      </c>
      <c r="AU24" s="174">
        <f t="shared" si="15"/>
        <v>9.259928050469732</v>
      </c>
      <c r="AV24" s="215">
        <f t="shared" si="16"/>
        <v>0.8311415465950616</v>
      </c>
      <c r="AW24" s="174">
        <f t="shared" si="4"/>
        <v>37.62510333713606</v>
      </c>
      <c r="AX24" s="174">
        <f t="shared" si="5"/>
        <v>1.862771889650898</v>
      </c>
      <c r="AY24" s="174">
        <f t="shared" si="6"/>
        <v>9.777856102250931</v>
      </c>
      <c r="AZ24" s="215">
        <f t="shared" si="7"/>
        <v>0.8823029107060696</v>
      </c>
    </row>
    <row r="25" spans="1:52" ht="12">
      <c r="A25" s="169">
        <v>20</v>
      </c>
      <c r="B25" s="428">
        <v>2040</v>
      </c>
      <c r="C25" s="214">
        <f>'Avoided Truck Miles'!F25</f>
        <v>329859.1434008436</v>
      </c>
      <c r="D25" s="174">
        <f>(C25*Inputs!$B$61)/907185</f>
        <v>3.3419152510206342</v>
      </c>
      <c r="E25" s="174">
        <f>(C25*Inputs!$B$58)/907185</f>
        <v>0.1654413490604274</v>
      </c>
      <c r="F25" s="174">
        <f>(C25*Inputs!$B$60)/907185</f>
        <v>0.8708396285708212</v>
      </c>
      <c r="G25" s="174">
        <f>(C25*Inputs!$B$62)/907185</f>
        <v>0.0781755825230591</v>
      </c>
      <c r="H25" s="421">
        <f>'Avoided Truck Miles'!G25</f>
        <v>102993.0198745234</v>
      </c>
      <c r="I25" s="174">
        <f>(H25*Inputs!$B$66)/907185</f>
        <v>1.2476984169943421</v>
      </c>
      <c r="J25" s="174">
        <f>(H25*Inputs!$B$63)/907185</f>
        <v>0.061874034327744895</v>
      </c>
      <c r="K25" s="174">
        <f>(H25*Inputs!$B$65)/907185</f>
        <v>0.352965821513686</v>
      </c>
      <c r="L25" s="174">
        <f>(H25*Inputs!$B$67)/907185</f>
        <v>0.027020220495418867</v>
      </c>
      <c r="M25" s="174">
        <f t="shared" si="8"/>
        <v>2.094216834026292</v>
      </c>
      <c r="N25" s="174">
        <f t="shared" si="9"/>
        <v>0.1035673147326825</v>
      </c>
      <c r="O25" s="174">
        <f t="shared" si="10"/>
        <v>0.5178738070571351</v>
      </c>
      <c r="P25" s="215">
        <f t="shared" si="11"/>
        <v>0.05115536202764023</v>
      </c>
      <c r="Q25" s="499">
        <f>'Avoided Truck Miles'!P25</f>
        <v>53</v>
      </c>
      <c r="R25" s="174">
        <f>(Q25*Inputs!$B$61)/907185</f>
        <v>0.0005369610388178817</v>
      </c>
      <c r="S25" s="174">
        <f>(Q25*Inputs!$B$58)/907185</f>
        <v>2.6582229644449592E-05</v>
      </c>
      <c r="T25" s="174">
        <f>(Q25*Inputs!$B$60)/907185</f>
        <v>0.00013992184615045444</v>
      </c>
      <c r="U25" s="174">
        <f>(Q25*Inputs!$B$62)/907185</f>
        <v>1.2560833788036618E-05</v>
      </c>
      <c r="V25" s="501">
        <f>'Avoided Truck Miles'!Q25</f>
        <v>25</v>
      </c>
      <c r="W25" s="174">
        <f>(V25*Inputs!$B$66)/907185</f>
        <v>0.00030285994587653014</v>
      </c>
      <c r="X25" s="174">
        <f>(V25*Inputs!$B$63)/907185</f>
        <v>1.5018987306888894E-05</v>
      </c>
      <c r="Y25" s="174">
        <f>(V25*Inputs!$B$65)/907185</f>
        <v>8.567712208645424E-05</v>
      </c>
      <c r="Z25" s="174">
        <f>(V25*Inputs!$B$67)/907185</f>
        <v>6.5587504202560665E-06</v>
      </c>
      <c r="AA25" s="174">
        <f t="shared" si="12"/>
        <v>0.00023410109294135157</v>
      </c>
      <c r="AB25" s="174">
        <f t="shared" si="1"/>
        <v>1.1563242337560698E-05</v>
      </c>
      <c r="AC25" s="174">
        <f t="shared" si="2"/>
        <v>5.4244724064000195E-05</v>
      </c>
      <c r="AD25" s="425">
        <f t="shared" si="3"/>
        <v>6.002083367780552E-06</v>
      </c>
      <c r="AE25" s="214">
        <f>'Avoided Truck Miles'!X25</f>
        <v>3507502.22482897</v>
      </c>
      <c r="AF25" s="174">
        <f>(AE25*Inputs!$B$61)/907185</f>
        <v>35.53569883585274</v>
      </c>
      <c r="AG25" s="174">
        <f>(AE25*Inputs!$B$58)/907185</f>
        <v>1.759193011675878</v>
      </c>
      <c r="AH25" s="174">
        <f>(AE25*Inputs!$B$60)/907185</f>
        <v>9.259928050469732</v>
      </c>
      <c r="AI25" s="174">
        <f>(AE25*Inputs!$B$62)/907185</f>
        <v>0.8312670274951951</v>
      </c>
      <c r="AJ25" s="421">
        <f>'Avoided Truck Miles'!W25</f>
        <v>0</v>
      </c>
      <c r="AK25" s="174">
        <f>(AJ25*Inputs!$B$61)/907185</f>
        <v>0</v>
      </c>
      <c r="AL25" s="174">
        <f>(AJ25*Inputs!$B$58)/907185</f>
        <v>0</v>
      </c>
      <c r="AM25" s="174">
        <f>(AJ25*Inputs!$B$60)/907185</f>
        <v>0</v>
      </c>
      <c r="AN25" s="174">
        <f>(AJ25*Inputs!$B$62)/907185</f>
        <v>0</v>
      </c>
      <c r="AO25" s="174">
        <f>'Avoided Truck Miles'!T25/(100*100)</f>
        <v>9.346009063023903</v>
      </c>
      <c r="AP25" s="174">
        <f>AO25*Inputs!$B$18</f>
        <v>7009.506797267927</v>
      </c>
      <c r="AQ25" s="174">
        <f>(AP25*Inputs!$B$68)/907185</f>
        <v>0.005046433835911781</v>
      </c>
      <c r="AR25" s="174">
        <f>(AP25*Inputs!$B$69)/907185</f>
        <v>0.0001254809001335242</v>
      </c>
      <c r="AS25" s="174">
        <f t="shared" si="13"/>
        <v>35.53065240201683</v>
      </c>
      <c r="AT25" s="174">
        <f t="shared" si="14"/>
        <v>1.759193011675878</v>
      </c>
      <c r="AU25" s="174">
        <f t="shared" si="15"/>
        <v>9.259928050469732</v>
      </c>
      <c r="AV25" s="215">
        <f t="shared" si="16"/>
        <v>0.8311415465950616</v>
      </c>
      <c r="AW25" s="174">
        <f t="shared" si="4"/>
        <v>37.62510333713606</v>
      </c>
      <c r="AX25" s="174">
        <f t="shared" si="5"/>
        <v>1.862771889650898</v>
      </c>
      <c r="AY25" s="174">
        <f t="shared" si="6"/>
        <v>9.777856102250931</v>
      </c>
      <c r="AZ25" s="215">
        <f t="shared" si="7"/>
        <v>0.8823029107060696</v>
      </c>
    </row>
    <row r="26" spans="1:52" ht="12">
      <c r="A26" s="169">
        <v>21</v>
      </c>
      <c r="B26" s="428">
        <v>2041</v>
      </c>
      <c r="C26" s="214">
        <f>'Avoided Truck Miles'!F26</f>
        <v>329859.1434008436</v>
      </c>
      <c r="D26" s="174">
        <f>(C26*Inputs!$B$61)/907185</f>
        <v>3.3419152510206342</v>
      </c>
      <c r="E26" s="174">
        <f>(C26*Inputs!$B$58)/907185</f>
        <v>0.1654413490604274</v>
      </c>
      <c r="F26" s="174">
        <f>(C26*Inputs!$B$60)/907185</f>
        <v>0.8708396285708212</v>
      </c>
      <c r="G26" s="174">
        <f>(C26*Inputs!$B$62)/907185</f>
        <v>0.0781755825230591</v>
      </c>
      <c r="H26" s="421">
        <f>'Avoided Truck Miles'!G26</f>
        <v>102993.0198745234</v>
      </c>
      <c r="I26" s="174">
        <f>(H26*Inputs!$B$66)/907185</f>
        <v>1.2476984169943421</v>
      </c>
      <c r="J26" s="174">
        <f>(H26*Inputs!$B$63)/907185</f>
        <v>0.061874034327744895</v>
      </c>
      <c r="K26" s="174">
        <f>(H26*Inputs!$B$65)/907185</f>
        <v>0.352965821513686</v>
      </c>
      <c r="L26" s="174">
        <f>(H26*Inputs!$B$67)/907185</f>
        <v>0.027020220495418867</v>
      </c>
      <c r="M26" s="174">
        <f t="shared" si="8"/>
        <v>2.094216834026292</v>
      </c>
      <c r="N26" s="174">
        <f t="shared" si="9"/>
        <v>0.1035673147326825</v>
      </c>
      <c r="O26" s="174">
        <f t="shared" si="10"/>
        <v>0.5178738070571351</v>
      </c>
      <c r="P26" s="215">
        <f t="shared" si="11"/>
        <v>0.05115536202764023</v>
      </c>
      <c r="Q26" s="499">
        <f>'Avoided Truck Miles'!P26</f>
        <v>53</v>
      </c>
      <c r="R26" s="174">
        <f>(Q26*Inputs!$B$61)/907185</f>
        <v>0.0005369610388178817</v>
      </c>
      <c r="S26" s="174">
        <f>(Q26*Inputs!$B$58)/907185</f>
        <v>2.6582229644449592E-05</v>
      </c>
      <c r="T26" s="174">
        <f>(Q26*Inputs!$B$60)/907185</f>
        <v>0.00013992184615045444</v>
      </c>
      <c r="U26" s="174">
        <f>(Q26*Inputs!$B$62)/907185</f>
        <v>1.2560833788036618E-05</v>
      </c>
      <c r="V26" s="501">
        <f>'Avoided Truck Miles'!Q26</f>
        <v>25</v>
      </c>
      <c r="W26" s="174">
        <f>(V26*Inputs!$B$66)/907185</f>
        <v>0.00030285994587653014</v>
      </c>
      <c r="X26" s="174">
        <f>(V26*Inputs!$B$63)/907185</f>
        <v>1.5018987306888894E-05</v>
      </c>
      <c r="Y26" s="174">
        <f>(V26*Inputs!$B$65)/907185</f>
        <v>8.567712208645424E-05</v>
      </c>
      <c r="Z26" s="174">
        <f>(V26*Inputs!$B$67)/907185</f>
        <v>6.5587504202560665E-06</v>
      </c>
      <c r="AA26" s="174">
        <f t="shared" si="12"/>
        <v>0.00023410109294135157</v>
      </c>
      <c r="AB26" s="174">
        <f t="shared" si="1"/>
        <v>1.1563242337560698E-05</v>
      </c>
      <c r="AC26" s="174">
        <f t="shared" si="2"/>
        <v>5.4244724064000195E-05</v>
      </c>
      <c r="AD26" s="425">
        <f t="shared" si="3"/>
        <v>6.002083367780552E-06</v>
      </c>
      <c r="AE26" s="214">
        <f>'Avoided Truck Miles'!X26</f>
        <v>3507502.22482897</v>
      </c>
      <c r="AF26" s="174">
        <f>(AE26*Inputs!$B$61)/907185</f>
        <v>35.53569883585274</v>
      </c>
      <c r="AG26" s="174">
        <f>(AE26*Inputs!$B$58)/907185</f>
        <v>1.759193011675878</v>
      </c>
      <c r="AH26" s="174">
        <f>(AE26*Inputs!$B$60)/907185</f>
        <v>9.259928050469732</v>
      </c>
      <c r="AI26" s="174">
        <f>(AE26*Inputs!$B$62)/907185</f>
        <v>0.8312670274951951</v>
      </c>
      <c r="AJ26" s="421">
        <f>'Avoided Truck Miles'!W26</f>
        <v>0</v>
      </c>
      <c r="AK26" s="174">
        <f>(AJ26*Inputs!$B$61)/907185</f>
        <v>0</v>
      </c>
      <c r="AL26" s="174">
        <f>(AJ26*Inputs!$B$58)/907185</f>
        <v>0</v>
      </c>
      <c r="AM26" s="174">
        <f>(AJ26*Inputs!$B$60)/907185</f>
        <v>0</v>
      </c>
      <c r="AN26" s="174">
        <f>(AJ26*Inputs!$B$62)/907185</f>
        <v>0</v>
      </c>
      <c r="AO26" s="174">
        <f>'Avoided Truck Miles'!T26/(100*100)</f>
        <v>9.346009063023903</v>
      </c>
      <c r="AP26" s="174">
        <f>AO26*Inputs!$B$18</f>
        <v>7009.506797267927</v>
      </c>
      <c r="AQ26" s="174">
        <f>(AP26*Inputs!$B$68)/907185</f>
        <v>0.005046433835911781</v>
      </c>
      <c r="AR26" s="174">
        <f>(AP26*Inputs!$B$69)/907185</f>
        <v>0.0001254809001335242</v>
      </c>
      <c r="AS26" s="174">
        <f t="shared" si="13"/>
        <v>35.53065240201683</v>
      </c>
      <c r="AT26" s="174">
        <f t="shared" si="14"/>
        <v>1.759193011675878</v>
      </c>
      <c r="AU26" s="174">
        <f t="shared" si="15"/>
        <v>9.259928050469732</v>
      </c>
      <c r="AV26" s="215">
        <f t="shared" si="16"/>
        <v>0.8311415465950616</v>
      </c>
      <c r="AW26" s="174">
        <f t="shared" si="4"/>
        <v>37.62510333713606</v>
      </c>
      <c r="AX26" s="174">
        <f t="shared" si="5"/>
        <v>1.862771889650898</v>
      </c>
      <c r="AY26" s="174">
        <f t="shared" si="6"/>
        <v>9.777856102250931</v>
      </c>
      <c r="AZ26" s="215">
        <f t="shared" si="7"/>
        <v>0.8823029107060696</v>
      </c>
    </row>
    <row r="27" spans="1:52" ht="12">
      <c r="A27" s="169">
        <v>22</v>
      </c>
      <c r="B27" s="428">
        <v>2042</v>
      </c>
      <c r="C27" s="214">
        <f>'Avoided Truck Miles'!F27</f>
        <v>329859.1434008436</v>
      </c>
      <c r="D27" s="174">
        <f>(C27*Inputs!$B$61)/907185</f>
        <v>3.3419152510206342</v>
      </c>
      <c r="E27" s="174">
        <f>(C27*Inputs!$B$58)/907185</f>
        <v>0.1654413490604274</v>
      </c>
      <c r="F27" s="174">
        <f>(C27*Inputs!$B$60)/907185</f>
        <v>0.8708396285708212</v>
      </c>
      <c r="G27" s="174">
        <f>(C27*Inputs!$B$62)/907185</f>
        <v>0.0781755825230591</v>
      </c>
      <c r="H27" s="421">
        <f>'Avoided Truck Miles'!G27</f>
        <v>102993.0198745234</v>
      </c>
      <c r="I27" s="174">
        <f>(H27*Inputs!$B$66)/907185</f>
        <v>1.2476984169943421</v>
      </c>
      <c r="J27" s="174">
        <f>(H27*Inputs!$B$63)/907185</f>
        <v>0.061874034327744895</v>
      </c>
      <c r="K27" s="174">
        <f>(H27*Inputs!$B$65)/907185</f>
        <v>0.352965821513686</v>
      </c>
      <c r="L27" s="174">
        <f>(H27*Inputs!$B$67)/907185</f>
        <v>0.027020220495418867</v>
      </c>
      <c r="M27" s="174">
        <f t="shared" si="8"/>
        <v>2.094216834026292</v>
      </c>
      <c r="N27" s="174">
        <f t="shared" si="9"/>
        <v>0.1035673147326825</v>
      </c>
      <c r="O27" s="174">
        <f t="shared" si="10"/>
        <v>0.5178738070571351</v>
      </c>
      <c r="P27" s="215">
        <f t="shared" si="11"/>
        <v>0.05115536202764023</v>
      </c>
      <c r="Q27" s="499">
        <f>'Avoided Truck Miles'!P27</f>
        <v>53</v>
      </c>
      <c r="R27" s="174">
        <f>(Q27*Inputs!$B$61)/907185</f>
        <v>0.0005369610388178817</v>
      </c>
      <c r="S27" s="174">
        <f>(Q27*Inputs!$B$58)/907185</f>
        <v>2.6582229644449592E-05</v>
      </c>
      <c r="T27" s="174">
        <f>(Q27*Inputs!$B$60)/907185</f>
        <v>0.00013992184615045444</v>
      </c>
      <c r="U27" s="174">
        <f>(Q27*Inputs!$B$62)/907185</f>
        <v>1.2560833788036618E-05</v>
      </c>
      <c r="V27" s="501">
        <f>'Avoided Truck Miles'!Q27</f>
        <v>25</v>
      </c>
      <c r="W27" s="174">
        <f>(V27*Inputs!$B$66)/907185</f>
        <v>0.00030285994587653014</v>
      </c>
      <c r="X27" s="174">
        <f>(V27*Inputs!$B$63)/907185</f>
        <v>1.5018987306888894E-05</v>
      </c>
      <c r="Y27" s="174">
        <f>(V27*Inputs!$B$65)/907185</f>
        <v>8.567712208645424E-05</v>
      </c>
      <c r="Z27" s="174">
        <f>(V27*Inputs!$B$67)/907185</f>
        <v>6.5587504202560665E-06</v>
      </c>
      <c r="AA27" s="174">
        <f t="shared" si="12"/>
        <v>0.00023410109294135157</v>
      </c>
      <c r="AB27" s="174">
        <f t="shared" si="1"/>
        <v>1.1563242337560698E-05</v>
      </c>
      <c r="AC27" s="174">
        <f t="shared" si="2"/>
        <v>5.4244724064000195E-05</v>
      </c>
      <c r="AD27" s="425">
        <f t="shared" si="3"/>
        <v>6.002083367780552E-06</v>
      </c>
      <c r="AE27" s="214">
        <f>'Avoided Truck Miles'!X27</f>
        <v>3507502.22482897</v>
      </c>
      <c r="AF27" s="174">
        <f>(AE27*Inputs!$B$61)/907185</f>
        <v>35.53569883585274</v>
      </c>
      <c r="AG27" s="174">
        <f>(AE27*Inputs!$B$58)/907185</f>
        <v>1.759193011675878</v>
      </c>
      <c r="AH27" s="174">
        <f>(AE27*Inputs!$B$60)/907185</f>
        <v>9.259928050469732</v>
      </c>
      <c r="AI27" s="174">
        <f>(AE27*Inputs!$B$62)/907185</f>
        <v>0.8312670274951951</v>
      </c>
      <c r="AJ27" s="421">
        <f>'Avoided Truck Miles'!W27</f>
        <v>0</v>
      </c>
      <c r="AK27" s="174">
        <f>(AJ27*Inputs!$B$61)/907185</f>
        <v>0</v>
      </c>
      <c r="AL27" s="174">
        <f>(AJ27*Inputs!$B$58)/907185</f>
        <v>0</v>
      </c>
      <c r="AM27" s="174">
        <f>(AJ27*Inputs!$B$60)/907185</f>
        <v>0</v>
      </c>
      <c r="AN27" s="174">
        <f>(AJ27*Inputs!$B$62)/907185</f>
        <v>0</v>
      </c>
      <c r="AO27" s="174">
        <f>'Avoided Truck Miles'!T27/(100*100)</f>
        <v>9.346009063023903</v>
      </c>
      <c r="AP27" s="174">
        <f>AO27*Inputs!$B$18</f>
        <v>7009.506797267927</v>
      </c>
      <c r="AQ27" s="174">
        <f>(AP27*Inputs!$B$68)/907185</f>
        <v>0.005046433835911781</v>
      </c>
      <c r="AR27" s="174">
        <f>(AP27*Inputs!$B$69)/907185</f>
        <v>0.0001254809001335242</v>
      </c>
      <c r="AS27" s="174">
        <f t="shared" si="13"/>
        <v>35.53065240201683</v>
      </c>
      <c r="AT27" s="174">
        <f t="shared" si="14"/>
        <v>1.759193011675878</v>
      </c>
      <c r="AU27" s="174">
        <f t="shared" si="15"/>
        <v>9.259928050469732</v>
      </c>
      <c r="AV27" s="215">
        <f t="shared" si="16"/>
        <v>0.8311415465950616</v>
      </c>
      <c r="AW27" s="174">
        <f t="shared" si="4"/>
        <v>37.62510333713606</v>
      </c>
      <c r="AX27" s="174">
        <f t="shared" si="5"/>
        <v>1.862771889650898</v>
      </c>
      <c r="AY27" s="174">
        <f t="shared" si="6"/>
        <v>9.777856102250931</v>
      </c>
      <c r="AZ27" s="215">
        <f t="shared" si="7"/>
        <v>0.8823029107060696</v>
      </c>
    </row>
    <row r="28" spans="1:52" ht="12">
      <c r="A28" s="169">
        <v>23</v>
      </c>
      <c r="B28" s="428">
        <v>2043</v>
      </c>
      <c r="C28" s="214">
        <f>'Avoided Truck Miles'!F28</f>
        <v>329859.1434008436</v>
      </c>
      <c r="D28" s="174">
        <f>(C28*Inputs!$B$61)/907185</f>
        <v>3.3419152510206342</v>
      </c>
      <c r="E28" s="174">
        <f>(C28*Inputs!$B$58)/907185</f>
        <v>0.1654413490604274</v>
      </c>
      <c r="F28" s="174">
        <f>(C28*Inputs!$B$60)/907185</f>
        <v>0.8708396285708212</v>
      </c>
      <c r="G28" s="174">
        <f>(C28*Inputs!$B$62)/907185</f>
        <v>0.0781755825230591</v>
      </c>
      <c r="H28" s="421">
        <f>'Avoided Truck Miles'!G28</f>
        <v>102993.0198745234</v>
      </c>
      <c r="I28" s="174">
        <f>(H28*Inputs!$B$66)/907185</f>
        <v>1.2476984169943421</v>
      </c>
      <c r="J28" s="174">
        <f>(H28*Inputs!$B$63)/907185</f>
        <v>0.061874034327744895</v>
      </c>
      <c r="K28" s="174">
        <f>(H28*Inputs!$B$65)/907185</f>
        <v>0.352965821513686</v>
      </c>
      <c r="L28" s="174">
        <f>(H28*Inputs!$B$67)/907185</f>
        <v>0.027020220495418867</v>
      </c>
      <c r="M28" s="174">
        <f t="shared" si="8"/>
        <v>2.094216834026292</v>
      </c>
      <c r="N28" s="174">
        <f t="shared" si="9"/>
        <v>0.1035673147326825</v>
      </c>
      <c r="O28" s="174">
        <f t="shared" si="10"/>
        <v>0.5178738070571351</v>
      </c>
      <c r="P28" s="215">
        <f t="shared" si="11"/>
        <v>0.05115536202764023</v>
      </c>
      <c r="Q28" s="499">
        <f>'Avoided Truck Miles'!P28</f>
        <v>53</v>
      </c>
      <c r="R28" s="174">
        <f>(Q28*Inputs!$B$61)/907185</f>
        <v>0.0005369610388178817</v>
      </c>
      <c r="S28" s="174">
        <f>(Q28*Inputs!$B$58)/907185</f>
        <v>2.6582229644449592E-05</v>
      </c>
      <c r="T28" s="174">
        <f>(Q28*Inputs!$B$60)/907185</f>
        <v>0.00013992184615045444</v>
      </c>
      <c r="U28" s="174">
        <f>(Q28*Inputs!$B$62)/907185</f>
        <v>1.2560833788036618E-05</v>
      </c>
      <c r="V28" s="501">
        <f>'Avoided Truck Miles'!Q28</f>
        <v>25</v>
      </c>
      <c r="W28" s="174">
        <f>(V28*Inputs!$B$66)/907185</f>
        <v>0.00030285994587653014</v>
      </c>
      <c r="X28" s="174">
        <f>(V28*Inputs!$B$63)/907185</f>
        <v>1.5018987306888894E-05</v>
      </c>
      <c r="Y28" s="174">
        <f>(V28*Inputs!$B$65)/907185</f>
        <v>8.567712208645424E-05</v>
      </c>
      <c r="Z28" s="174">
        <f>(V28*Inputs!$B$67)/907185</f>
        <v>6.5587504202560665E-06</v>
      </c>
      <c r="AA28" s="174">
        <f t="shared" si="12"/>
        <v>0.00023410109294135157</v>
      </c>
      <c r="AB28" s="174">
        <f t="shared" si="1"/>
        <v>1.1563242337560698E-05</v>
      </c>
      <c r="AC28" s="174">
        <f t="shared" si="2"/>
        <v>5.4244724064000195E-05</v>
      </c>
      <c r="AD28" s="425">
        <f t="shared" si="3"/>
        <v>6.002083367780552E-06</v>
      </c>
      <c r="AE28" s="214">
        <f>'Avoided Truck Miles'!X28</f>
        <v>3507502.22482897</v>
      </c>
      <c r="AF28" s="174">
        <f>(AE28*Inputs!$B$61)/907185</f>
        <v>35.53569883585274</v>
      </c>
      <c r="AG28" s="174">
        <f>(AE28*Inputs!$B$58)/907185</f>
        <v>1.759193011675878</v>
      </c>
      <c r="AH28" s="174">
        <f>(AE28*Inputs!$B$60)/907185</f>
        <v>9.259928050469732</v>
      </c>
      <c r="AI28" s="174">
        <f>(AE28*Inputs!$B$62)/907185</f>
        <v>0.8312670274951951</v>
      </c>
      <c r="AJ28" s="421">
        <f>'Avoided Truck Miles'!W28</f>
        <v>0</v>
      </c>
      <c r="AK28" s="174">
        <f>(AJ28*Inputs!$B$61)/907185</f>
        <v>0</v>
      </c>
      <c r="AL28" s="174">
        <f>(AJ28*Inputs!$B$58)/907185</f>
        <v>0</v>
      </c>
      <c r="AM28" s="174">
        <f>(AJ28*Inputs!$B$60)/907185</f>
        <v>0</v>
      </c>
      <c r="AN28" s="174">
        <f>(AJ28*Inputs!$B$62)/907185</f>
        <v>0</v>
      </c>
      <c r="AO28" s="174">
        <f>'Avoided Truck Miles'!T28/(100*100)</f>
        <v>9.346009063023903</v>
      </c>
      <c r="AP28" s="174">
        <f>AO28*Inputs!$B$18</f>
        <v>7009.506797267927</v>
      </c>
      <c r="AQ28" s="174">
        <f>(AP28*Inputs!$B$68)/907185</f>
        <v>0.005046433835911781</v>
      </c>
      <c r="AR28" s="174">
        <f>(AP28*Inputs!$B$69)/907185</f>
        <v>0.0001254809001335242</v>
      </c>
      <c r="AS28" s="174">
        <f t="shared" si="13"/>
        <v>35.53065240201683</v>
      </c>
      <c r="AT28" s="174">
        <f t="shared" si="14"/>
        <v>1.759193011675878</v>
      </c>
      <c r="AU28" s="174">
        <f t="shared" si="15"/>
        <v>9.259928050469732</v>
      </c>
      <c r="AV28" s="215">
        <f t="shared" si="16"/>
        <v>0.8311415465950616</v>
      </c>
      <c r="AW28" s="174">
        <f t="shared" si="4"/>
        <v>37.62510333713606</v>
      </c>
      <c r="AX28" s="174">
        <f t="shared" si="5"/>
        <v>1.862771889650898</v>
      </c>
      <c r="AY28" s="174">
        <f t="shared" si="6"/>
        <v>9.777856102250931</v>
      </c>
      <c r="AZ28" s="215">
        <f t="shared" si="7"/>
        <v>0.8823029107060696</v>
      </c>
    </row>
    <row r="29" spans="1:52" ht="12">
      <c r="A29" s="169">
        <v>24</v>
      </c>
      <c r="B29" s="428">
        <v>2044</v>
      </c>
      <c r="C29" s="214">
        <f>'Avoided Truck Miles'!F29</f>
        <v>329859.1434008436</v>
      </c>
      <c r="D29" s="174">
        <f>(C29*Inputs!$B$61)/907185</f>
        <v>3.3419152510206342</v>
      </c>
      <c r="E29" s="174">
        <f>(C29*Inputs!$B$58)/907185</f>
        <v>0.1654413490604274</v>
      </c>
      <c r="F29" s="174">
        <f>(C29*Inputs!$B$60)/907185</f>
        <v>0.8708396285708212</v>
      </c>
      <c r="G29" s="174">
        <f>(C29*Inputs!$B$62)/907185</f>
        <v>0.0781755825230591</v>
      </c>
      <c r="H29" s="421">
        <f>'Avoided Truck Miles'!G29</f>
        <v>102993.0198745234</v>
      </c>
      <c r="I29" s="174">
        <f>(H29*Inputs!$B$66)/907185</f>
        <v>1.2476984169943421</v>
      </c>
      <c r="J29" s="174">
        <f>(H29*Inputs!$B$63)/907185</f>
        <v>0.061874034327744895</v>
      </c>
      <c r="K29" s="174">
        <f>(H29*Inputs!$B$65)/907185</f>
        <v>0.352965821513686</v>
      </c>
      <c r="L29" s="174">
        <f>(H29*Inputs!$B$67)/907185</f>
        <v>0.027020220495418867</v>
      </c>
      <c r="M29" s="174">
        <f t="shared" si="8"/>
        <v>2.094216834026292</v>
      </c>
      <c r="N29" s="174">
        <f t="shared" si="9"/>
        <v>0.1035673147326825</v>
      </c>
      <c r="O29" s="174">
        <f t="shared" si="10"/>
        <v>0.5178738070571351</v>
      </c>
      <c r="P29" s="215">
        <f t="shared" si="11"/>
        <v>0.05115536202764023</v>
      </c>
      <c r="Q29" s="499">
        <f>'Avoided Truck Miles'!P29</f>
        <v>53</v>
      </c>
      <c r="R29" s="174">
        <f>(Q29*Inputs!$B$61)/907185</f>
        <v>0.0005369610388178817</v>
      </c>
      <c r="S29" s="174">
        <f>(Q29*Inputs!$B$58)/907185</f>
        <v>2.6582229644449592E-05</v>
      </c>
      <c r="T29" s="174">
        <f>(Q29*Inputs!$B$60)/907185</f>
        <v>0.00013992184615045444</v>
      </c>
      <c r="U29" s="174">
        <f>(Q29*Inputs!$B$62)/907185</f>
        <v>1.2560833788036618E-05</v>
      </c>
      <c r="V29" s="501">
        <f>'Avoided Truck Miles'!Q29</f>
        <v>25</v>
      </c>
      <c r="W29" s="174">
        <f>(V29*Inputs!$B$66)/907185</f>
        <v>0.00030285994587653014</v>
      </c>
      <c r="X29" s="174">
        <f>(V29*Inputs!$B$63)/907185</f>
        <v>1.5018987306888894E-05</v>
      </c>
      <c r="Y29" s="174">
        <f>(V29*Inputs!$B$65)/907185</f>
        <v>8.567712208645424E-05</v>
      </c>
      <c r="Z29" s="174">
        <f>(V29*Inputs!$B$67)/907185</f>
        <v>6.5587504202560665E-06</v>
      </c>
      <c r="AA29" s="174">
        <f t="shared" si="12"/>
        <v>0.00023410109294135157</v>
      </c>
      <c r="AB29" s="174">
        <f t="shared" si="1"/>
        <v>1.1563242337560698E-05</v>
      </c>
      <c r="AC29" s="174">
        <f t="shared" si="2"/>
        <v>5.4244724064000195E-05</v>
      </c>
      <c r="AD29" s="425">
        <f t="shared" si="3"/>
        <v>6.002083367780552E-06</v>
      </c>
      <c r="AE29" s="214">
        <f>'Avoided Truck Miles'!X29</f>
        <v>3507502.22482897</v>
      </c>
      <c r="AF29" s="174">
        <f>(AE29*Inputs!$B$61)/907185</f>
        <v>35.53569883585274</v>
      </c>
      <c r="AG29" s="174">
        <f>(AE29*Inputs!$B$58)/907185</f>
        <v>1.759193011675878</v>
      </c>
      <c r="AH29" s="174">
        <f>(AE29*Inputs!$B$60)/907185</f>
        <v>9.259928050469732</v>
      </c>
      <c r="AI29" s="174">
        <f>(AE29*Inputs!$B$62)/907185</f>
        <v>0.8312670274951951</v>
      </c>
      <c r="AJ29" s="421">
        <f>'Avoided Truck Miles'!W29</f>
        <v>0</v>
      </c>
      <c r="AK29" s="174">
        <f>(AJ29*Inputs!$B$61)/907185</f>
        <v>0</v>
      </c>
      <c r="AL29" s="174">
        <f>(AJ29*Inputs!$B$58)/907185</f>
        <v>0</v>
      </c>
      <c r="AM29" s="174">
        <f>(AJ29*Inputs!$B$60)/907185</f>
        <v>0</v>
      </c>
      <c r="AN29" s="174">
        <f>(AJ29*Inputs!$B$62)/907185</f>
        <v>0</v>
      </c>
      <c r="AO29" s="174">
        <f>'Avoided Truck Miles'!T29/(100*100)</f>
        <v>9.346009063023903</v>
      </c>
      <c r="AP29" s="174">
        <f>AO29*Inputs!$B$18</f>
        <v>7009.506797267927</v>
      </c>
      <c r="AQ29" s="174">
        <f>(AP29*Inputs!$B$68)/907185</f>
        <v>0.005046433835911781</v>
      </c>
      <c r="AR29" s="174">
        <f>(AP29*Inputs!$B$69)/907185</f>
        <v>0.0001254809001335242</v>
      </c>
      <c r="AS29" s="174">
        <f t="shared" si="13"/>
        <v>35.53065240201683</v>
      </c>
      <c r="AT29" s="174">
        <f t="shared" si="14"/>
        <v>1.759193011675878</v>
      </c>
      <c r="AU29" s="174">
        <f t="shared" si="15"/>
        <v>9.259928050469732</v>
      </c>
      <c r="AV29" s="215">
        <f t="shared" si="16"/>
        <v>0.8311415465950616</v>
      </c>
      <c r="AW29" s="174">
        <f t="shared" si="4"/>
        <v>37.62510333713606</v>
      </c>
      <c r="AX29" s="174">
        <f t="shared" si="5"/>
        <v>1.862771889650898</v>
      </c>
      <c r="AY29" s="174">
        <f t="shared" si="6"/>
        <v>9.777856102250931</v>
      </c>
      <c r="AZ29" s="215">
        <f t="shared" si="7"/>
        <v>0.8823029107060696</v>
      </c>
    </row>
    <row r="30" spans="1:52" ht="12">
      <c r="A30" s="169">
        <v>25</v>
      </c>
      <c r="B30" s="428">
        <v>2045</v>
      </c>
      <c r="C30" s="214">
        <f>'Avoided Truck Miles'!F30</f>
        <v>329859.1434008436</v>
      </c>
      <c r="D30" s="174">
        <f>(C30*Inputs!$B$61)/907185</f>
        <v>3.3419152510206342</v>
      </c>
      <c r="E30" s="174">
        <f>(C30*Inputs!$B$58)/907185</f>
        <v>0.1654413490604274</v>
      </c>
      <c r="F30" s="174">
        <f>(C30*Inputs!$B$60)/907185</f>
        <v>0.8708396285708212</v>
      </c>
      <c r="G30" s="174">
        <f>(C30*Inputs!$B$62)/907185</f>
        <v>0.0781755825230591</v>
      </c>
      <c r="H30" s="421">
        <f>'Avoided Truck Miles'!G30</f>
        <v>102993.0198745234</v>
      </c>
      <c r="I30" s="174">
        <f>(H30*Inputs!$B$66)/907185</f>
        <v>1.2476984169943421</v>
      </c>
      <c r="J30" s="174">
        <f>(H30*Inputs!$B$63)/907185</f>
        <v>0.061874034327744895</v>
      </c>
      <c r="K30" s="174">
        <f>(H30*Inputs!$B$65)/907185</f>
        <v>0.352965821513686</v>
      </c>
      <c r="L30" s="174">
        <f>(H30*Inputs!$B$67)/907185</f>
        <v>0.027020220495418867</v>
      </c>
      <c r="M30" s="174">
        <f t="shared" si="8"/>
        <v>2.094216834026292</v>
      </c>
      <c r="N30" s="174">
        <f t="shared" si="9"/>
        <v>0.1035673147326825</v>
      </c>
      <c r="O30" s="174">
        <f t="shared" si="10"/>
        <v>0.5178738070571351</v>
      </c>
      <c r="P30" s="215">
        <f t="shared" si="11"/>
        <v>0.05115536202764023</v>
      </c>
      <c r="Q30" s="499">
        <f>'Avoided Truck Miles'!P30</f>
        <v>53</v>
      </c>
      <c r="R30" s="174">
        <f>(Q30*Inputs!$B$61)/907185</f>
        <v>0.0005369610388178817</v>
      </c>
      <c r="S30" s="174">
        <f>(Q30*Inputs!$B$58)/907185</f>
        <v>2.6582229644449592E-05</v>
      </c>
      <c r="T30" s="174">
        <f>(Q30*Inputs!$B$60)/907185</f>
        <v>0.00013992184615045444</v>
      </c>
      <c r="U30" s="174">
        <f>(Q30*Inputs!$B$62)/907185</f>
        <v>1.2560833788036618E-05</v>
      </c>
      <c r="V30" s="501">
        <f>'Avoided Truck Miles'!Q30</f>
        <v>25</v>
      </c>
      <c r="W30" s="174">
        <f>(V30*Inputs!$B$66)/907185</f>
        <v>0.00030285994587653014</v>
      </c>
      <c r="X30" s="174">
        <f>(V30*Inputs!$B$63)/907185</f>
        <v>1.5018987306888894E-05</v>
      </c>
      <c r="Y30" s="174">
        <f>(V30*Inputs!$B$65)/907185</f>
        <v>8.567712208645424E-05</v>
      </c>
      <c r="Z30" s="174">
        <f>(V30*Inputs!$B$67)/907185</f>
        <v>6.5587504202560665E-06</v>
      </c>
      <c r="AA30" s="174">
        <f t="shared" si="12"/>
        <v>0.00023410109294135157</v>
      </c>
      <c r="AB30" s="174">
        <f t="shared" si="1"/>
        <v>1.1563242337560698E-05</v>
      </c>
      <c r="AC30" s="174">
        <f t="shared" si="2"/>
        <v>5.4244724064000195E-05</v>
      </c>
      <c r="AD30" s="425">
        <f t="shared" si="3"/>
        <v>6.002083367780552E-06</v>
      </c>
      <c r="AE30" s="214">
        <f>'Avoided Truck Miles'!X30</f>
        <v>3507502.22482897</v>
      </c>
      <c r="AF30" s="174">
        <f>(AE30*Inputs!$B$61)/907185</f>
        <v>35.53569883585274</v>
      </c>
      <c r="AG30" s="174">
        <f>(AE30*Inputs!$B$58)/907185</f>
        <v>1.759193011675878</v>
      </c>
      <c r="AH30" s="174">
        <f>(AE30*Inputs!$B$60)/907185</f>
        <v>9.259928050469732</v>
      </c>
      <c r="AI30" s="174">
        <f>(AE30*Inputs!$B$62)/907185</f>
        <v>0.8312670274951951</v>
      </c>
      <c r="AJ30" s="421">
        <f>'Avoided Truck Miles'!W30</f>
        <v>0</v>
      </c>
      <c r="AK30" s="174">
        <f>(AJ30*Inputs!$B$61)/907185</f>
        <v>0</v>
      </c>
      <c r="AL30" s="174">
        <f>(AJ30*Inputs!$B$58)/907185</f>
        <v>0</v>
      </c>
      <c r="AM30" s="174">
        <f>(AJ30*Inputs!$B$60)/907185</f>
        <v>0</v>
      </c>
      <c r="AN30" s="174">
        <f>(AJ30*Inputs!$B$62)/907185</f>
        <v>0</v>
      </c>
      <c r="AO30" s="174">
        <f>'Avoided Truck Miles'!T30/(100*100)</f>
        <v>9.346009063023903</v>
      </c>
      <c r="AP30" s="174">
        <f>AO30*Inputs!$B$18</f>
        <v>7009.506797267927</v>
      </c>
      <c r="AQ30" s="174">
        <f>(AP30*Inputs!$B$68)/907185</f>
        <v>0.005046433835911781</v>
      </c>
      <c r="AR30" s="174">
        <f>(AP30*Inputs!$B$69)/907185</f>
        <v>0.0001254809001335242</v>
      </c>
      <c r="AS30" s="174">
        <f t="shared" si="13"/>
        <v>35.53065240201683</v>
      </c>
      <c r="AT30" s="174">
        <f t="shared" si="14"/>
        <v>1.759193011675878</v>
      </c>
      <c r="AU30" s="174">
        <f t="shared" si="15"/>
        <v>9.259928050469732</v>
      </c>
      <c r="AV30" s="215">
        <f t="shared" si="16"/>
        <v>0.8311415465950616</v>
      </c>
      <c r="AW30" s="174">
        <f t="shared" si="4"/>
        <v>37.62510333713606</v>
      </c>
      <c r="AX30" s="174">
        <f t="shared" si="5"/>
        <v>1.862771889650898</v>
      </c>
      <c r="AY30" s="174">
        <f t="shared" si="6"/>
        <v>9.777856102250931</v>
      </c>
      <c r="AZ30" s="215">
        <f t="shared" si="7"/>
        <v>0.8823029107060696</v>
      </c>
    </row>
    <row r="31" spans="1:52" ht="12">
      <c r="A31" s="169">
        <v>26</v>
      </c>
      <c r="B31" s="428">
        <v>2046</v>
      </c>
      <c r="C31" s="214">
        <f>'Avoided Truck Miles'!F31</f>
        <v>329859.1434008436</v>
      </c>
      <c r="D31" s="174">
        <f>(C31*Inputs!$B$61)/907185</f>
        <v>3.3419152510206342</v>
      </c>
      <c r="E31" s="174">
        <f>(C31*Inputs!$B$58)/907185</f>
        <v>0.1654413490604274</v>
      </c>
      <c r="F31" s="174">
        <f>(C31*Inputs!$B$60)/907185</f>
        <v>0.8708396285708212</v>
      </c>
      <c r="G31" s="174">
        <f>(C31*Inputs!$B$62)/907185</f>
        <v>0.0781755825230591</v>
      </c>
      <c r="H31" s="421">
        <f>'Avoided Truck Miles'!G31</f>
        <v>102993.0198745234</v>
      </c>
      <c r="I31" s="174">
        <f>(H31*Inputs!$B$66)/907185</f>
        <v>1.2476984169943421</v>
      </c>
      <c r="J31" s="174">
        <f>(H31*Inputs!$B$63)/907185</f>
        <v>0.061874034327744895</v>
      </c>
      <c r="K31" s="174">
        <f>(H31*Inputs!$B$65)/907185</f>
        <v>0.352965821513686</v>
      </c>
      <c r="L31" s="174">
        <f>(H31*Inputs!$B$67)/907185</f>
        <v>0.027020220495418867</v>
      </c>
      <c r="M31" s="174">
        <f t="shared" si="8"/>
        <v>2.094216834026292</v>
      </c>
      <c r="N31" s="174">
        <f t="shared" si="9"/>
        <v>0.1035673147326825</v>
      </c>
      <c r="O31" s="174">
        <f t="shared" si="10"/>
        <v>0.5178738070571351</v>
      </c>
      <c r="P31" s="215">
        <f t="shared" si="11"/>
        <v>0.05115536202764023</v>
      </c>
      <c r="Q31" s="499">
        <f>'Avoided Truck Miles'!P31</f>
        <v>53</v>
      </c>
      <c r="R31" s="174">
        <f>(Q31*Inputs!$B$61)/907185</f>
        <v>0.0005369610388178817</v>
      </c>
      <c r="S31" s="174">
        <f>(Q31*Inputs!$B$58)/907185</f>
        <v>2.6582229644449592E-05</v>
      </c>
      <c r="T31" s="174">
        <f>(Q31*Inputs!$B$60)/907185</f>
        <v>0.00013992184615045444</v>
      </c>
      <c r="U31" s="174">
        <f>(Q31*Inputs!$B$62)/907185</f>
        <v>1.2560833788036618E-05</v>
      </c>
      <c r="V31" s="501">
        <f>'Avoided Truck Miles'!Q31</f>
        <v>25</v>
      </c>
      <c r="W31" s="174">
        <f>(V31*Inputs!$B$66)/907185</f>
        <v>0.00030285994587653014</v>
      </c>
      <c r="X31" s="174">
        <f>(V31*Inputs!$B$63)/907185</f>
        <v>1.5018987306888894E-05</v>
      </c>
      <c r="Y31" s="174">
        <f>(V31*Inputs!$B$65)/907185</f>
        <v>8.567712208645424E-05</v>
      </c>
      <c r="Z31" s="174">
        <f>(V31*Inputs!$B$67)/907185</f>
        <v>6.5587504202560665E-06</v>
      </c>
      <c r="AA31" s="174">
        <f t="shared" si="12"/>
        <v>0.00023410109294135157</v>
      </c>
      <c r="AB31" s="174">
        <f t="shared" si="1"/>
        <v>1.1563242337560698E-05</v>
      </c>
      <c r="AC31" s="174">
        <f t="shared" si="2"/>
        <v>5.4244724064000195E-05</v>
      </c>
      <c r="AD31" s="425">
        <f t="shared" si="3"/>
        <v>6.002083367780552E-06</v>
      </c>
      <c r="AE31" s="214">
        <f>'Avoided Truck Miles'!X31</f>
        <v>3507502.22482897</v>
      </c>
      <c r="AF31" s="174">
        <f>(AE31*Inputs!$B$61)/907185</f>
        <v>35.53569883585274</v>
      </c>
      <c r="AG31" s="174">
        <f>(AE31*Inputs!$B$58)/907185</f>
        <v>1.759193011675878</v>
      </c>
      <c r="AH31" s="174">
        <f>(AE31*Inputs!$B$60)/907185</f>
        <v>9.259928050469732</v>
      </c>
      <c r="AI31" s="174">
        <f>(AE31*Inputs!$B$62)/907185</f>
        <v>0.8312670274951951</v>
      </c>
      <c r="AJ31" s="421">
        <f>'Avoided Truck Miles'!W31</f>
        <v>0</v>
      </c>
      <c r="AK31" s="174">
        <f>(AJ31*Inputs!$B$61)/907185</f>
        <v>0</v>
      </c>
      <c r="AL31" s="174">
        <f>(AJ31*Inputs!$B$58)/907185</f>
        <v>0</v>
      </c>
      <c r="AM31" s="174">
        <f>(AJ31*Inputs!$B$60)/907185</f>
        <v>0</v>
      </c>
      <c r="AN31" s="174">
        <f>(AJ31*Inputs!$B$62)/907185</f>
        <v>0</v>
      </c>
      <c r="AO31" s="174">
        <f>'Avoided Truck Miles'!T31/(100*100)</f>
        <v>9.346009063023903</v>
      </c>
      <c r="AP31" s="174">
        <f>AO31*Inputs!$B$18</f>
        <v>7009.506797267927</v>
      </c>
      <c r="AQ31" s="174">
        <f>(AP31*Inputs!$B$68)/907185</f>
        <v>0.005046433835911781</v>
      </c>
      <c r="AR31" s="174">
        <f>(AP31*Inputs!$B$69)/907185</f>
        <v>0.0001254809001335242</v>
      </c>
      <c r="AS31" s="174">
        <f t="shared" si="13"/>
        <v>35.53065240201683</v>
      </c>
      <c r="AT31" s="174">
        <f t="shared" si="14"/>
        <v>1.759193011675878</v>
      </c>
      <c r="AU31" s="174">
        <f t="shared" si="15"/>
        <v>9.259928050469732</v>
      </c>
      <c r="AV31" s="215">
        <f t="shared" si="16"/>
        <v>0.8311415465950616</v>
      </c>
      <c r="AW31" s="174">
        <f t="shared" si="4"/>
        <v>37.62510333713606</v>
      </c>
      <c r="AX31" s="174">
        <f t="shared" si="5"/>
        <v>1.862771889650898</v>
      </c>
      <c r="AY31" s="174">
        <f t="shared" si="6"/>
        <v>9.777856102250931</v>
      </c>
      <c r="AZ31" s="215">
        <f t="shared" si="7"/>
        <v>0.8823029107060696</v>
      </c>
    </row>
    <row r="32" spans="1:52" ht="12">
      <c r="A32" s="169">
        <v>27</v>
      </c>
      <c r="B32" s="428">
        <v>2047</v>
      </c>
      <c r="C32" s="214">
        <f>'Avoided Truck Miles'!F32</f>
        <v>329859.1434008436</v>
      </c>
      <c r="D32" s="174">
        <f>(C32*Inputs!$B$61)/907185</f>
        <v>3.3419152510206342</v>
      </c>
      <c r="E32" s="174">
        <f>(C32*Inputs!$B$58)/907185</f>
        <v>0.1654413490604274</v>
      </c>
      <c r="F32" s="174">
        <f>(C32*Inputs!$B$60)/907185</f>
        <v>0.8708396285708212</v>
      </c>
      <c r="G32" s="174">
        <f>(C32*Inputs!$B$62)/907185</f>
        <v>0.0781755825230591</v>
      </c>
      <c r="H32" s="421">
        <f>'Avoided Truck Miles'!G32</f>
        <v>102993.0198745234</v>
      </c>
      <c r="I32" s="174">
        <f>(H32*Inputs!$B$66)/907185</f>
        <v>1.2476984169943421</v>
      </c>
      <c r="J32" s="174">
        <f>(H32*Inputs!$B$63)/907185</f>
        <v>0.061874034327744895</v>
      </c>
      <c r="K32" s="174">
        <f>(H32*Inputs!$B$65)/907185</f>
        <v>0.352965821513686</v>
      </c>
      <c r="L32" s="174">
        <f>(H32*Inputs!$B$67)/907185</f>
        <v>0.027020220495418867</v>
      </c>
      <c r="M32" s="174">
        <f t="shared" si="8"/>
        <v>2.094216834026292</v>
      </c>
      <c r="N32" s="174">
        <f t="shared" si="9"/>
        <v>0.1035673147326825</v>
      </c>
      <c r="O32" s="174">
        <f t="shared" si="10"/>
        <v>0.5178738070571351</v>
      </c>
      <c r="P32" s="215">
        <f t="shared" si="11"/>
        <v>0.05115536202764023</v>
      </c>
      <c r="Q32" s="499">
        <f>'Avoided Truck Miles'!P32</f>
        <v>53</v>
      </c>
      <c r="R32" s="174">
        <f>(Q32*Inputs!$B$61)/907185</f>
        <v>0.0005369610388178817</v>
      </c>
      <c r="S32" s="174">
        <f>(Q32*Inputs!$B$58)/907185</f>
        <v>2.6582229644449592E-05</v>
      </c>
      <c r="T32" s="174">
        <f>(Q32*Inputs!$B$60)/907185</f>
        <v>0.00013992184615045444</v>
      </c>
      <c r="U32" s="174">
        <f>(Q32*Inputs!$B$62)/907185</f>
        <v>1.2560833788036618E-05</v>
      </c>
      <c r="V32" s="501">
        <f>'Avoided Truck Miles'!Q32</f>
        <v>25</v>
      </c>
      <c r="W32" s="174">
        <f>(V32*Inputs!$B$66)/907185</f>
        <v>0.00030285994587653014</v>
      </c>
      <c r="X32" s="174">
        <f>(V32*Inputs!$B$63)/907185</f>
        <v>1.5018987306888894E-05</v>
      </c>
      <c r="Y32" s="174">
        <f>(V32*Inputs!$B$65)/907185</f>
        <v>8.567712208645424E-05</v>
      </c>
      <c r="Z32" s="174">
        <f>(V32*Inputs!$B$67)/907185</f>
        <v>6.5587504202560665E-06</v>
      </c>
      <c r="AA32" s="174">
        <f t="shared" si="12"/>
        <v>0.00023410109294135157</v>
      </c>
      <c r="AB32" s="174">
        <f t="shared" si="1"/>
        <v>1.1563242337560698E-05</v>
      </c>
      <c r="AC32" s="174">
        <f t="shared" si="2"/>
        <v>5.4244724064000195E-05</v>
      </c>
      <c r="AD32" s="425">
        <f t="shared" si="3"/>
        <v>6.002083367780552E-06</v>
      </c>
      <c r="AE32" s="214">
        <f>'Avoided Truck Miles'!X32</f>
        <v>3507502.22482897</v>
      </c>
      <c r="AF32" s="174">
        <f>(AE32*Inputs!$B$61)/907185</f>
        <v>35.53569883585274</v>
      </c>
      <c r="AG32" s="174">
        <f>(AE32*Inputs!$B$58)/907185</f>
        <v>1.759193011675878</v>
      </c>
      <c r="AH32" s="174">
        <f>(AE32*Inputs!$B$60)/907185</f>
        <v>9.259928050469732</v>
      </c>
      <c r="AI32" s="174">
        <f>(AE32*Inputs!$B$62)/907185</f>
        <v>0.8312670274951951</v>
      </c>
      <c r="AJ32" s="421">
        <f>'Avoided Truck Miles'!W32</f>
        <v>0</v>
      </c>
      <c r="AK32" s="174">
        <f>(AJ32*Inputs!$B$61)/907185</f>
        <v>0</v>
      </c>
      <c r="AL32" s="174">
        <f>(AJ32*Inputs!$B$58)/907185</f>
        <v>0</v>
      </c>
      <c r="AM32" s="174">
        <f>(AJ32*Inputs!$B$60)/907185</f>
        <v>0</v>
      </c>
      <c r="AN32" s="174">
        <f>(AJ32*Inputs!$B$62)/907185</f>
        <v>0</v>
      </c>
      <c r="AO32" s="174">
        <f>'Avoided Truck Miles'!T32/(100*100)</f>
        <v>9.346009063023903</v>
      </c>
      <c r="AP32" s="174">
        <f>AO32*Inputs!$B$18</f>
        <v>7009.506797267927</v>
      </c>
      <c r="AQ32" s="174">
        <f>(AP32*Inputs!$B$68)/907185</f>
        <v>0.005046433835911781</v>
      </c>
      <c r="AR32" s="174">
        <f>(AP32*Inputs!$B$69)/907185</f>
        <v>0.0001254809001335242</v>
      </c>
      <c r="AS32" s="174">
        <f t="shared" si="13"/>
        <v>35.53065240201683</v>
      </c>
      <c r="AT32" s="174">
        <f t="shared" si="14"/>
        <v>1.759193011675878</v>
      </c>
      <c r="AU32" s="174">
        <f t="shared" si="15"/>
        <v>9.259928050469732</v>
      </c>
      <c r="AV32" s="215">
        <f t="shared" si="16"/>
        <v>0.8311415465950616</v>
      </c>
      <c r="AW32" s="174">
        <f t="shared" si="4"/>
        <v>37.62510333713606</v>
      </c>
      <c r="AX32" s="174">
        <f t="shared" si="5"/>
        <v>1.862771889650898</v>
      </c>
      <c r="AY32" s="174">
        <f t="shared" si="6"/>
        <v>9.777856102250931</v>
      </c>
      <c r="AZ32" s="215">
        <f t="shared" si="7"/>
        <v>0.8823029107060696</v>
      </c>
    </row>
    <row r="33" spans="1:52" ht="12">
      <c r="A33" s="169">
        <v>28</v>
      </c>
      <c r="B33" s="428">
        <v>2048</v>
      </c>
      <c r="C33" s="214">
        <f>'Avoided Truck Miles'!F33</f>
        <v>329859.1434008436</v>
      </c>
      <c r="D33" s="174">
        <f>(C33*Inputs!$B$61)/907185</f>
        <v>3.3419152510206342</v>
      </c>
      <c r="E33" s="174">
        <f>(C33*Inputs!$B$58)/907185</f>
        <v>0.1654413490604274</v>
      </c>
      <c r="F33" s="174">
        <f>(C33*Inputs!$B$60)/907185</f>
        <v>0.8708396285708212</v>
      </c>
      <c r="G33" s="174">
        <f>(C33*Inputs!$B$62)/907185</f>
        <v>0.0781755825230591</v>
      </c>
      <c r="H33" s="421">
        <f>'Avoided Truck Miles'!G33</f>
        <v>102993.0198745234</v>
      </c>
      <c r="I33" s="174">
        <f>(H33*Inputs!$B$66)/907185</f>
        <v>1.2476984169943421</v>
      </c>
      <c r="J33" s="174">
        <f>(H33*Inputs!$B$63)/907185</f>
        <v>0.061874034327744895</v>
      </c>
      <c r="K33" s="174">
        <f>(H33*Inputs!$B$65)/907185</f>
        <v>0.352965821513686</v>
      </c>
      <c r="L33" s="174">
        <f>(H33*Inputs!$B$67)/907185</f>
        <v>0.027020220495418867</v>
      </c>
      <c r="M33" s="174">
        <f t="shared" si="8"/>
        <v>2.094216834026292</v>
      </c>
      <c r="N33" s="174">
        <f t="shared" si="9"/>
        <v>0.1035673147326825</v>
      </c>
      <c r="O33" s="174">
        <f t="shared" si="10"/>
        <v>0.5178738070571351</v>
      </c>
      <c r="P33" s="215">
        <f t="shared" si="11"/>
        <v>0.05115536202764023</v>
      </c>
      <c r="Q33" s="499">
        <f>'Avoided Truck Miles'!P33</f>
        <v>53</v>
      </c>
      <c r="R33" s="174">
        <f>(Q33*Inputs!$B$61)/907185</f>
        <v>0.0005369610388178817</v>
      </c>
      <c r="S33" s="174">
        <f>(Q33*Inputs!$B$58)/907185</f>
        <v>2.6582229644449592E-05</v>
      </c>
      <c r="T33" s="174">
        <f>(Q33*Inputs!$B$60)/907185</f>
        <v>0.00013992184615045444</v>
      </c>
      <c r="U33" s="174">
        <f>(Q33*Inputs!$B$62)/907185</f>
        <v>1.2560833788036618E-05</v>
      </c>
      <c r="V33" s="501">
        <f>'Avoided Truck Miles'!Q33</f>
        <v>25</v>
      </c>
      <c r="W33" s="174">
        <f>(V33*Inputs!$B$66)/907185</f>
        <v>0.00030285994587653014</v>
      </c>
      <c r="X33" s="174">
        <f>(V33*Inputs!$B$63)/907185</f>
        <v>1.5018987306888894E-05</v>
      </c>
      <c r="Y33" s="174">
        <f>(V33*Inputs!$B$65)/907185</f>
        <v>8.567712208645424E-05</v>
      </c>
      <c r="Z33" s="174">
        <f>(V33*Inputs!$B$67)/907185</f>
        <v>6.5587504202560665E-06</v>
      </c>
      <c r="AA33" s="174">
        <f t="shared" si="12"/>
        <v>0.00023410109294135157</v>
      </c>
      <c r="AB33" s="174">
        <f t="shared" si="1"/>
        <v>1.1563242337560698E-05</v>
      </c>
      <c r="AC33" s="174">
        <f t="shared" si="2"/>
        <v>5.4244724064000195E-05</v>
      </c>
      <c r="AD33" s="425">
        <f t="shared" si="3"/>
        <v>6.002083367780552E-06</v>
      </c>
      <c r="AE33" s="214">
        <f>'Avoided Truck Miles'!X33</f>
        <v>3507502.22482897</v>
      </c>
      <c r="AF33" s="174">
        <f>(AE33*Inputs!$B$61)/907185</f>
        <v>35.53569883585274</v>
      </c>
      <c r="AG33" s="174">
        <f>(AE33*Inputs!$B$58)/907185</f>
        <v>1.759193011675878</v>
      </c>
      <c r="AH33" s="174">
        <f>(AE33*Inputs!$B$60)/907185</f>
        <v>9.259928050469732</v>
      </c>
      <c r="AI33" s="174">
        <f>(AE33*Inputs!$B$62)/907185</f>
        <v>0.8312670274951951</v>
      </c>
      <c r="AJ33" s="421">
        <f>'Avoided Truck Miles'!W33</f>
        <v>0</v>
      </c>
      <c r="AK33" s="174">
        <f>(AJ33*Inputs!$B$61)/907185</f>
        <v>0</v>
      </c>
      <c r="AL33" s="174">
        <f>(AJ33*Inputs!$B$58)/907185</f>
        <v>0</v>
      </c>
      <c r="AM33" s="174">
        <f>(AJ33*Inputs!$B$60)/907185</f>
        <v>0</v>
      </c>
      <c r="AN33" s="174">
        <f>(AJ33*Inputs!$B$62)/907185</f>
        <v>0</v>
      </c>
      <c r="AO33" s="174">
        <f>'Avoided Truck Miles'!T33/(100*100)</f>
        <v>9.346009063023903</v>
      </c>
      <c r="AP33" s="174">
        <f>AO33*Inputs!$B$18</f>
        <v>7009.506797267927</v>
      </c>
      <c r="AQ33" s="174">
        <f>(AP33*Inputs!$B$68)/907185</f>
        <v>0.005046433835911781</v>
      </c>
      <c r="AR33" s="174">
        <f>(AP33*Inputs!$B$69)/907185</f>
        <v>0.0001254809001335242</v>
      </c>
      <c r="AS33" s="174">
        <f t="shared" si="13"/>
        <v>35.53065240201683</v>
      </c>
      <c r="AT33" s="174">
        <f t="shared" si="14"/>
        <v>1.759193011675878</v>
      </c>
      <c r="AU33" s="174">
        <f t="shared" si="15"/>
        <v>9.259928050469732</v>
      </c>
      <c r="AV33" s="215">
        <f t="shared" si="16"/>
        <v>0.8311415465950616</v>
      </c>
      <c r="AW33" s="174">
        <f t="shared" si="4"/>
        <v>37.62510333713606</v>
      </c>
      <c r="AX33" s="174">
        <f t="shared" si="5"/>
        <v>1.862771889650898</v>
      </c>
      <c r="AY33" s="174">
        <f t="shared" si="6"/>
        <v>9.777856102250931</v>
      </c>
      <c r="AZ33" s="215">
        <f t="shared" si="7"/>
        <v>0.8823029107060696</v>
      </c>
    </row>
    <row r="34" spans="1:52" ht="12">
      <c r="A34" s="169">
        <v>29</v>
      </c>
      <c r="B34" s="428">
        <v>2049</v>
      </c>
      <c r="C34" s="214">
        <f>'Avoided Truck Miles'!F34</f>
        <v>329859.1434008436</v>
      </c>
      <c r="D34" s="174">
        <f>(C34*Inputs!$B$61)/907185</f>
        <v>3.3419152510206342</v>
      </c>
      <c r="E34" s="174">
        <f>(C34*Inputs!$B$58)/907185</f>
        <v>0.1654413490604274</v>
      </c>
      <c r="F34" s="174">
        <f>(C34*Inputs!$B$60)/907185</f>
        <v>0.8708396285708212</v>
      </c>
      <c r="G34" s="174">
        <f>(C34*Inputs!$B$62)/907185</f>
        <v>0.0781755825230591</v>
      </c>
      <c r="H34" s="421">
        <f>'Avoided Truck Miles'!G34</f>
        <v>102993.0198745234</v>
      </c>
      <c r="I34" s="174">
        <f>(H34*Inputs!$B$66)/907185</f>
        <v>1.2476984169943421</v>
      </c>
      <c r="J34" s="174">
        <f>(H34*Inputs!$B$63)/907185</f>
        <v>0.061874034327744895</v>
      </c>
      <c r="K34" s="174">
        <f>(H34*Inputs!$B$65)/907185</f>
        <v>0.352965821513686</v>
      </c>
      <c r="L34" s="174">
        <f>(H34*Inputs!$B$67)/907185</f>
        <v>0.027020220495418867</v>
      </c>
      <c r="M34" s="174">
        <f t="shared" si="8"/>
        <v>2.094216834026292</v>
      </c>
      <c r="N34" s="174">
        <f t="shared" si="9"/>
        <v>0.1035673147326825</v>
      </c>
      <c r="O34" s="174">
        <f t="shared" si="10"/>
        <v>0.5178738070571351</v>
      </c>
      <c r="P34" s="215">
        <f t="shared" si="11"/>
        <v>0.05115536202764023</v>
      </c>
      <c r="Q34" s="499">
        <f>'Avoided Truck Miles'!P34</f>
        <v>53</v>
      </c>
      <c r="R34" s="174">
        <f>(Q34*Inputs!$B$61)/907185</f>
        <v>0.0005369610388178817</v>
      </c>
      <c r="S34" s="174">
        <f>(Q34*Inputs!$B$58)/907185</f>
        <v>2.6582229644449592E-05</v>
      </c>
      <c r="T34" s="174">
        <f>(Q34*Inputs!$B$60)/907185</f>
        <v>0.00013992184615045444</v>
      </c>
      <c r="U34" s="174">
        <f>(Q34*Inputs!$B$62)/907185</f>
        <v>1.2560833788036618E-05</v>
      </c>
      <c r="V34" s="501">
        <f>'Avoided Truck Miles'!Q34</f>
        <v>25</v>
      </c>
      <c r="W34" s="174">
        <f>(V34*Inputs!$B$66)/907185</f>
        <v>0.00030285994587653014</v>
      </c>
      <c r="X34" s="174">
        <f>(V34*Inputs!$B$63)/907185</f>
        <v>1.5018987306888894E-05</v>
      </c>
      <c r="Y34" s="174">
        <f>(V34*Inputs!$B$65)/907185</f>
        <v>8.567712208645424E-05</v>
      </c>
      <c r="Z34" s="174">
        <f>(V34*Inputs!$B$67)/907185</f>
        <v>6.5587504202560665E-06</v>
      </c>
      <c r="AA34" s="174">
        <f t="shared" si="12"/>
        <v>0.00023410109294135157</v>
      </c>
      <c r="AB34" s="174">
        <f t="shared" si="1"/>
        <v>1.1563242337560698E-05</v>
      </c>
      <c r="AC34" s="174">
        <f t="shared" si="2"/>
        <v>5.4244724064000195E-05</v>
      </c>
      <c r="AD34" s="425">
        <f t="shared" si="3"/>
        <v>6.002083367780552E-06</v>
      </c>
      <c r="AE34" s="214">
        <f>'Avoided Truck Miles'!X34</f>
        <v>3507502.22482897</v>
      </c>
      <c r="AF34" s="174">
        <f>(AE34*Inputs!$B$61)/907185</f>
        <v>35.53569883585274</v>
      </c>
      <c r="AG34" s="174">
        <f>(AE34*Inputs!$B$58)/907185</f>
        <v>1.759193011675878</v>
      </c>
      <c r="AH34" s="174">
        <f>(AE34*Inputs!$B$60)/907185</f>
        <v>9.259928050469732</v>
      </c>
      <c r="AI34" s="174">
        <f>(AE34*Inputs!$B$62)/907185</f>
        <v>0.8312670274951951</v>
      </c>
      <c r="AJ34" s="421">
        <f>'Avoided Truck Miles'!W34</f>
        <v>0</v>
      </c>
      <c r="AK34" s="174">
        <f>(AJ34*Inputs!$B$61)/907185</f>
        <v>0</v>
      </c>
      <c r="AL34" s="174">
        <f>(AJ34*Inputs!$B$58)/907185</f>
        <v>0</v>
      </c>
      <c r="AM34" s="174">
        <f>(AJ34*Inputs!$B$60)/907185</f>
        <v>0</v>
      </c>
      <c r="AN34" s="174">
        <f>(AJ34*Inputs!$B$62)/907185</f>
        <v>0</v>
      </c>
      <c r="AO34" s="174">
        <f>'Avoided Truck Miles'!T34/(100*100)</f>
        <v>9.346009063023903</v>
      </c>
      <c r="AP34" s="174">
        <f>AO34*Inputs!$B$18</f>
        <v>7009.506797267927</v>
      </c>
      <c r="AQ34" s="174">
        <f>(AP34*Inputs!$B$68)/907185</f>
        <v>0.005046433835911781</v>
      </c>
      <c r="AR34" s="174">
        <f>(AP34*Inputs!$B$69)/907185</f>
        <v>0.0001254809001335242</v>
      </c>
      <c r="AS34" s="174">
        <f t="shared" si="13"/>
        <v>35.53065240201683</v>
      </c>
      <c r="AT34" s="174">
        <f t="shared" si="14"/>
        <v>1.759193011675878</v>
      </c>
      <c r="AU34" s="174">
        <f t="shared" si="15"/>
        <v>9.259928050469732</v>
      </c>
      <c r="AV34" s="215">
        <f t="shared" si="16"/>
        <v>0.8311415465950616</v>
      </c>
      <c r="AW34" s="174">
        <f t="shared" si="4"/>
        <v>37.62510333713606</v>
      </c>
      <c r="AX34" s="174">
        <f t="shared" si="5"/>
        <v>1.862771889650898</v>
      </c>
      <c r="AY34" s="174">
        <f t="shared" si="6"/>
        <v>9.777856102250931</v>
      </c>
      <c r="AZ34" s="215">
        <f t="shared" si="7"/>
        <v>0.8823029107060696</v>
      </c>
    </row>
    <row r="35" spans="1:52" ht="12">
      <c r="A35" s="469">
        <v>30</v>
      </c>
      <c r="B35" s="473">
        <v>2050</v>
      </c>
      <c r="C35" s="214">
        <f>'Avoided Truck Miles'!F35</f>
        <v>329859.1434008436</v>
      </c>
      <c r="D35" s="174">
        <f>(C35*Inputs!$B$61)/907185</f>
        <v>3.3419152510206342</v>
      </c>
      <c r="E35" s="174">
        <f>(C35*Inputs!$B$58)/907185</f>
        <v>0.1654413490604274</v>
      </c>
      <c r="F35" s="174">
        <f>(C35*Inputs!$B$60)/907185</f>
        <v>0.8708396285708212</v>
      </c>
      <c r="G35" s="174">
        <f>(C35*Inputs!$B$62)/907185</f>
        <v>0.0781755825230591</v>
      </c>
      <c r="H35" s="421">
        <f>'Avoided Truck Miles'!G35</f>
        <v>102993.0198745234</v>
      </c>
      <c r="I35" s="174">
        <f>(H35*Inputs!$B$66)/907185</f>
        <v>1.2476984169943421</v>
      </c>
      <c r="J35" s="174">
        <f>(H35*Inputs!$B$63)/907185</f>
        <v>0.061874034327744895</v>
      </c>
      <c r="K35" s="174">
        <f>(H35*Inputs!$B$65)/907185</f>
        <v>0.352965821513686</v>
      </c>
      <c r="L35" s="174">
        <f>(H35*Inputs!$B$67)/907185</f>
        <v>0.027020220495418867</v>
      </c>
      <c r="M35" s="174">
        <f>D35-I35</f>
        <v>2.094216834026292</v>
      </c>
      <c r="N35" s="174">
        <f>E35-J35</f>
        <v>0.1035673147326825</v>
      </c>
      <c r="O35" s="174">
        <f>F35-K35</f>
        <v>0.5178738070571351</v>
      </c>
      <c r="P35" s="215">
        <f>G35-L35</f>
        <v>0.05115536202764023</v>
      </c>
      <c r="Q35" s="499">
        <f>'Avoided Truck Miles'!P35</f>
        <v>53</v>
      </c>
      <c r="R35" s="174">
        <f>(Q35*Inputs!$B$61)/907185</f>
        <v>0.0005369610388178817</v>
      </c>
      <c r="S35" s="174">
        <f>(Q35*Inputs!$B$58)/907185</f>
        <v>2.6582229644449592E-05</v>
      </c>
      <c r="T35" s="174">
        <f>(Q35*Inputs!$B$60)/907185</f>
        <v>0.00013992184615045444</v>
      </c>
      <c r="U35" s="174">
        <f>(Q35*Inputs!$B$62)/907185</f>
        <v>1.2560833788036618E-05</v>
      </c>
      <c r="V35" s="501">
        <f>'Avoided Truck Miles'!Q35</f>
        <v>25</v>
      </c>
      <c r="W35" s="174">
        <f>(V35*Inputs!$B$66)/907185</f>
        <v>0.00030285994587653014</v>
      </c>
      <c r="X35" s="174">
        <f>(V35*Inputs!$B$63)/907185</f>
        <v>1.5018987306888894E-05</v>
      </c>
      <c r="Y35" s="174">
        <f>(V35*Inputs!$B$65)/907185</f>
        <v>8.567712208645424E-05</v>
      </c>
      <c r="Z35" s="174">
        <f>(V35*Inputs!$B$67)/907185</f>
        <v>6.5587504202560665E-06</v>
      </c>
      <c r="AA35" s="174">
        <f>R35-W35</f>
        <v>0.00023410109294135157</v>
      </c>
      <c r="AB35" s="174">
        <f>S35-X35</f>
        <v>1.1563242337560698E-05</v>
      </c>
      <c r="AC35" s="174">
        <f>T35-Y35</f>
        <v>5.4244724064000195E-05</v>
      </c>
      <c r="AD35" s="425">
        <f>U35-Z35</f>
        <v>6.002083367780552E-06</v>
      </c>
      <c r="AE35" s="214">
        <f>'Avoided Truck Miles'!X35</f>
        <v>3507502.22482897</v>
      </c>
      <c r="AF35" s="174">
        <f>(AE35*Inputs!$B$61)/907185</f>
        <v>35.53569883585274</v>
      </c>
      <c r="AG35" s="174">
        <f>(AE35*Inputs!$B$58)/907185</f>
        <v>1.759193011675878</v>
      </c>
      <c r="AH35" s="174">
        <f>(AE35*Inputs!$B$60)/907185</f>
        <v>9.259928050469732</v>
      </c>
      <c r="AI35" s="174">
        <f>(AE35*Inputs!$B$62)/907185</f>
        <v>0.8312670274951951</v>
      </c>
      <c r="AJ35" s="421">
        <f>'Avoided Truck Miles'!W35</f>
        <v>37.529411764705884</v>
      </c>
      <c r="AK35" s="174">
        <f>(AJ35*Inputs!$B$61)/907185</f>
        <v>0.00038022324391321705</v>
      </c>
      <c r="AL35" s="174">
        <f>(AJ35*Inputs!$B$58)/907185</f>
        <v>1.8822932866990944E-05</v>
      </c>
      <c r="AM35" s="174">
        <f>(AJ35*Inputs!$B$60)/907185</f>
        <v>9.907895432185342E-05</v>
      </c>
      <c r="AN35" s="174">
        <f>(AJ35*Inputs!$B$62)/907185</f>
        <v>8.894352893193522E-06</v>
      </c>
      <c r="AO35" s="174">
        <f>'Avoided Truck Miles'!T35/(100*100)</f>
        <v>9.346009063023903</v>
      </c>
      <c r="AP35" s="174">
        <f>AO35*Inputs!$B$18</f>
        <v>7009.506797267927</v>
      </c>
      <c r="AQ35" s="174">
        <f>(AP35*Inputs!$B$68)/907185</f>
        <v>0.005046433835911781</v>
      </c>
      <c r="AR35" s="174">
        <f>(AP35*Inputs!$B$69)/907185</f>
        <v>0.0001254809001335242</v>
      </c>
      <c r="AS35" s="174">
        <f>AF35-AK35-AQ35</f>
        <v>35.53027217877291</v>
      </c>
      <c r="AT35" s="174">
        <f>AG35-AL35</f>
        <v>1.759174188743011</v>
      </c>
      <c r="AU35" s="174">
        <f>AH35-AM35</f>
        <v>9.25982897151541</v>
      </c>
      <c r="AV35" s="215">
        <f>AI35-AN35-AR35</f>
        <v>0.8311326522421684</v>
      </c>
      <c r="AW35" s="174">
        <f>M35+AA35+AS35</f>
        <v>37.624723113892145</v>
      </c>
      <c r="AX35" s="174">
        <f>N35+AB35+AT35</f>
        <v>1.862753066718031</v>
      </c>
      <c r="AY35" s="174">
        <f>O35+AC35+AU35</f>
        <v>9.777757023296608</v>
      </c>
      <c r="AZ35" s="215">
        <f>P35+AD35+AV35</f>
        <v>0.8822940163531764</v>
      </c>
    </row>
    <row r="36" spans="1:52" ht="12.75" thickBot="1">
      <c r="A36" s="616" t="s">
        <v>0</v>
      </c>
      <c r="B36" s="617"/>
      <c r="C36" s="216">
        <f>SUM(C3:C35)</f>
        <v>10734745.925451905</v>
      </c>
      <c r="D36" s="217">
        <f aca="true" t="shared" si="17" ref="D36:AZ36">SUM(D3:D35)</f>
        <v>108.75736459578644</v>
      </c>
      <c r="E36" s="217">
        <f t="shared" si="17"/>
        <v>5.384027950286448</v>
      </c>
      <c r="F36" s="217">
        <f t="shared" si="17"/>
        <v>28.340103166892412</v>
      </c>
      <c r="G36" s="217">
        <f t="shared" si="17"/>
        <v>2.5441011193661245</v>
      </c>
      <c r="H36" s="217">
        <f t="shared" si="17"/>
        <v>3928762.2196622975</v>
      </c>
      <c r="I36" s="217">
        <f t="shared" si="17"/>
        <v>45.93085957499759</v>
      </c>
      <c r="J36" s="217">
        <f t="shared" si="17"/>
        <v>2.2770085083059777</v>
      </c>
      <c r="K36" s="217">
        <f t="shared" si="17"/>
        <v>12.80388895517838</v>
      </c>
      <c r="L36" s="217">
        <f t="shared" si="17"/>
        <v>1.0094402585369189</v>
      </c>
      <c r="M36" s="217">
        <f t="shared" si="17"/>
        <v>62.82650502078874</v>
      </c>
      <c r="N36" s="217">
        <f t="shared" si="17"/>
        <v>3.107019441980476</v>
      </c>
      <c r="O36" s="217">
        <f t="shared" si="17"/>
        <v>15.536214211714064</v>
      </c>
      <c r="P36" s="218">
        <f t="shared" si="17"/>
        <v>1.5346608608292065</v>
      </c>
      <c r="Q36" s="500">
        <f t="shared" si="17"/>
        <v>1749</v>
      </c>
      <c r="R36" s="217">
        <f t="shared" si="17"/>
        <v>0.0177197142809901</v>
      </c>
      <c r="S36" s="217">
        <f t="shared" si="17"/>
        <v>0.000877213578266836</v>
      </c>
      <c r="T36" s="217">
        <f t="shared" si="17"/>
        <v>0.004617420922964996</v>
      </c>
      <c r="U36" s="217">
        <f t="shared" si="17"/>
        <v>0.0004145075150052082</v>
      </c>
      <c r="V36" s="502">
        <f t="shared" si="17"/>
        <v>909</v>
      </c>
      <c r="W36" s="217">
        <f t="shared" si="17"/>
        <v>0.010801783539189914</v>
      </c>
      <c r="X36" s="217">
        <f t="shared" si="17"/>
        <v>0.0005355743315861707</v>
      </c>
      <c r="Y36" s="217">
        <f t="shared" si="17"/>
        <v>0.00303179285371782</v>
      </c>
      <c r="Z36" s="217">
        <f t="shared" si="17"/>
        <v>0.00023578873107469792</v>
      </c>
      <c r="AA36" s="217">
        <f t="shared" si="17"/>
        <v>0.007023032788240544</v>
      </c>
      <c r="AB36" s="217">
        <f t="shared" si="17"/>
        <v>0.00034163924668066594</v>
      </c>
      <c r="AC36" s="217">
        <f t="shared" si="17"/>
        <v>0.0015856280692471767</v>
      </c>
      <c r="AD36" s="426">
        <f t="shared" si="17"/>
        <v>0.00017871878393051023</v>
      </c>
      <c r="AE36" s="216">
        <f t="shared" si="17"/>
        <v>105225066.74486917</v>
      </c>
      <c r="AF36" s="217">
        <f t="shared" si="17"/>
        <v>1066.0709650755819</v>
      </c>
      <c r="AG36" s="217">
        <f t="shared" si="17"/>
        <v>52.77579035027633</v>
      </c>
      <c r="AH36" s="217">
        <f t="shared" si="17"/>
        <v>277.7978415140921</v>
      </c>
      <c r="AI36" s="217">
        <f t="shared" si="17"/>
        <v>24.93801082485585</v>
      </c>
      <c r="AJ36" s="217">
        <f t="shared" si="17"/>
        <v>37.529411764705884</v>
      </c>
      <c r="AK36" s="217">
        <f t="shared" si="17"/>
        <v>0.00038022324391321705</v>
      </c>
      <c r="AL36" s="217">
        <f t="shared" si="17"/>
        <v>1.8822932866990944E-05</v>
      </c>
      <c r="AM36" s="217">
        <f t="shared" si="17"/>
        <v>9.907895432185342E-05</v>
      </c>
      <c r="AN36" s="217">
        <f t="shared" si="17"/>
        <v>8.894352893193522E-06</v>
      </c>
      <c r="AO36" s="217">
        <f t="shared" si="17"/>
        <v>280.3802718907171</v>
      </c>
      <c r="AP36" s="217">
        <f t="shared" si="17"/>
        <v>210285.2039180379</v>
      </c>
      <c r="AQ36" s="217">
        <f t="shared" si="17"/>
        <v>0.15139301507735345</v>
      </c>
      <c r="AR36" s="217">
        <f t="shared" si="17"/>
        <v>0.003764427004005723</v>
      </c>
      <c r="AS36" s="217">
        <f t="shared" si="17"/>
        <v>1065.9191918372608</v>
      </c>
      <c r="AT36" s="217">
        <f t="shared" si="17"/>
        <v>52.775771527343466</v>
      </c>
      <c r="AU36" s="217">
        <f t="shared" si="17"/>
        <v>277.79774243513776</v>
      </c>
      <c r="AV36" s="218">
        <f t="shared" si="17"/>
        <v>24.934237503498967</v>
      </c>
      <c r="AW36" s="217">
        <f t="shared" si="17"/>
        <v>1128.7527198908372</v>
      </c>
      <c r="AX36" s="217">
        <f t="shared" si="17"/>
        <v>55.88313260857065</v>
      </c>
      <c r="AY36" s="217">
        <f t="shared" si="17"/>
        <v>293.3355422749209</v>
      </c>
      <c r="AZ36" s="218">
        <f t="shared" si="17"/>
        <v>26.469077083112094</v>
      </c>
    </row>
    <row r="37" ht="12.75" thickBot="1"/>
    <row r="38" spans="1:52" ht="12.75" thickBot="1">
      <c r="A38" s="635" t="s">
        <v>64</v>
      </c>
      <c r="B38" s="633" t="s">
        <v>1</v>
      </c>
      <c r="C38" s="627" t="s">
        <v>444</v>
      </c>
      <c r="D38" s="628"/>
      <c r="E38" s="628"/>
      <c r="F38" s="628"/>
      <c r="G38" s="628"/>
      <c r="H38" s="628"/>
      <c r="I38" s="628"/>
      <c r="J38" s="628"/>
      <c r="K38" s="628"/>
      <c r="L38" s="628"/>
      <c r="M38" s="628"/>
      <c r="N38" s="628"/>
      <c r="O38" s="628"/>
      <c r="P38" s="629"/>
      <c r="Q38" s="627" t="s">
        <v>445</v>
      </c>
      <c r="R38" s="628"/>
      <c r="S38" s="628"/>
      <c r="T38" s="628"/>
      <c r="U38" s="628"/>
      <c r="V38" s="628"/>
      <c r="W38" s="628"/>
      <c r="X38" s="628"/>
      <c r="Y38" s="628"/>
      <c r="Z38" s="628"/>
      <c r="AA38" s="628"/>
      <c r="AB38" s="628"/>
      <c r="AC38" s="628"/>
      <c r="AD38" s="628"/>
      <c r="AE38" s="630" t="s">
        <v>446</v>
      </c>
      <c r="AF38" s="631"/>
      <c r="AG38" s="631"/>
      <c r="AH38" s="631"/>
      <c r="AI38" s="631"/>
      <c r="AJ38" s="631"/>
      <c r="AK38" s="631"/>
      <c r="AL38" s="631"/>
      <c r="AM38" s="631"/>
      <c r="AN38" s="631"/>
      <c r="AO38" s="631"/>
      <c r="AP38" s="631"/>
      <c r="AQ38" s="631"/>
      <c r="AR38" s="631"/>
      <c r="AS38" s="631"/>
      <c r="AT38" s="631"/>
      <c r="AU38" s="631"/>
      <c r="AV38" s="632"/>
      <c r="AW38" s="624" t="s">
        <v>135</v>
      </c>
      <c r="AX38" s="625"/>
      <c r="AY38" s="625"/>
      <c r="AZ38" s="626"/>
    </row>
    <row r="39" spans="1:52" ht="48">
      <c r="A39" s="636"/>
      <c r="B39" s="634"/>
      <c r="C39" s="212" t="s">
        <v>87</v>
      </c>
      <c r="D39" s="157" t="s">
        <v>192</v>
      </c>
      <c r="E39" s="157" t="s">
        <v>193</v>
      </c>
      <c r="F39" s="157" t="s">
        <v>194</v>
      </c>
      <c r="G39" s="157" t="s">
        <v>195</v>
      </c>
      <c r="H39" s="422" t="s">
        <v>142</v>
      </c>
      <c r="I39" s="157" t="s">
        <v>196</v>
      </c>
      <c r="J39" s="157" t="s">
        <v>197</v>
      </c>
      <c r="K39" s="157" t="s">
        <v>198</v>
      </c>
      <c r="L39" s="157" t="s">
        <v>199</v>
      </c>
      <c r="M39" s="157" t="s">
        <v>200</v>
      </c>
      <c r="N39" s="157" t="s">
        <v>201</v>
      </c>
      <c r="O39" s="157" t="s">
        <v>202</v>
      </c>
      <c r="P39" s="158" t="s">
        <v>203</v>
      </c>
      <c r="Q39" s="515" t="s">
        <v>87</v>
      </c>
      <c r="R39" s="157" t="s">
        <v>192</v>
      </c>
      <c r="S39" s="157" t="s">
        <v>193</v>
      </c>
      <c r="T39" s="157" t="s">
        <v>194</v>
      </c>
      <c r="U39" s="157" t="s">
        <v>195</v>
      </c>
      <c r="V39" s="514" t="s">
        <v>142</v>
      </c>
      <c r="W39" s="157" t="s">
        <v>196</v>
      </c>
      <c r="X39" s="157" t="s">
        <v>197</v>
      </c>
      <c r="Y39" s="157" t="s">
        <v>198</v>
      </c>
      <c r="Z39" s="157" t="s">
        <v>199</v>
      </c>
      <c r="AA39" s="157" t="s">
        <v>200</v>
      </c>
      <c r="AB39" s="157" t="s">
        <v>201</v>
      </c>
      <c r="AC39" s="157" t="s">
        <v>202</v>
      </c>
      <c r="AD39" s="423" t="s">
        <v>203</v>
      </c>
      <c r="AE39" s="429" t="s">
        <v>87</v>
      </c>
      <c r="AF39" s="164" t="s">
        <v>192</v>
      </c>
      <c r="AG39" s="164" t="s">
        <v>193</v>
      </c>
      <c r="AH39" s="164" t="s">
        <v>194</v>
      </c>
      <c r="AI39" s="164" t="s">
        <v>195</v>
      </c>
      <c r="AJ39" s="430" t="s">
        <v>142</v>
      </c>
      <c r="AK39" s="164" t="s">
        <v>196</v>
      </c>
      <c r="AL39" s="164" t="s">
        <v>447</v>
      </c>
      <c r="AM39" s="164" t="s">
        <v>198</v>
      </c>
      <c r="AN39" s="164" t="s">
        <v>199</v>
      </c>
      <c r="AO39" s="164" t="s">
        <v>453</v>
      </c>
      <c r="AP39" s="164" t="s">
        <v>454</v>
      </c>
      <c r="AQ39" s="164" t="s">
        <v>448</v>
      </c>
      <c r="AR39" s="164" t="s">
        <v>449</v>
      </c>
      <c r="AS39" s="164" t="s">
        <v>200</v>
      </c>
      <c r="AT39" s="164" t="s">
        <v>201</v>
      </c>
      <c r="AU39" s="164" t="s">
        <v>202</v>
      </c>
      <c r="AV39" s="431" t="s">
        <v>203</v>
      </c>
      <c r="AW39" s="164" t="s">
        <v>200</v>
      </c>
      <c r="AX39" s="164" t="s">
        <v>201</v>
      </c>
      <c r="AY39" s="164" t="s">
        <v>202</v>
      </c>
      <c r="AZ39" s="431" t="s">
        <v>203</v>
      </c>
    </row>
    <row r="40" spans="1:52" ht="12">
      <c r="A40" s="169">
        <v>-2</v>
      </c>
      <c r="B40" s="427">
        <v>2018</v>
      </c>
      <c r="C40" s="211">
        <f>ROUND(C3,-3)</f>
        <v>257000</v>
      </c>
      <c r="D40" s="203">
        <f aca="true" t="shared" si="18" ref="D40:G59">D3</f>
        <v>2.599684442013655</v>
      </c>
      <c r="E40" s="203">
        <f t="shared" si="18"/>
        <v>0.12869724960463638</v>
      </c>
      <c r="F40" s="203">
        <f t="shared" si="18"/>
        <v>0.6774283797870421</v>
      </c>
      <c r="G40" s="203">
        <f t="shared" si="18"/>
        <v>0.060812986076916084</v>
      </c>
      <c r="H40" s="203">
        <f aca="true" t="shared" si="19" ref="H40:H72">ROUND(H3,-3)</f>
        <v>257000</v>
      </c>
      <c r="I40" s="203">
        <f aca="true" t="shared" si="20" ref="I40:AD40">I3</f>
        <v>2.599684442013655</v>
      </c>
      <c r="J40" s="203">
        <f t="shared" si="20"/>
        <v>0.12869724960463638</v>
      </c>
      <c r="K40" s="203">
        <f t="shared" si="20"/>
        <v>0.6774283797870421</v>
      </c>
      <c r="L40" s="203">
        <f t="shared" si="20"/>
        <v>0.060812986076916084</v>
      </c>
      <c r="M40" s="203">
        <f t="shared" si="20"/>
        <v>0</v>
      </c>
      <c r="N40" s="203">
        <f t="shared" si="20"/>
        <v>0</v>
      </c>
      <c r="O40" s="203">
        <f t="shared" si="20"/>
        <v>0</v>
      </c>
      <c r="P40" s="205">
        <f t="shared" si="20"/>
        <v>0</v>
      </c>
      <c r="Q40" s="211">
        <f t="shared" si="20"/>
        <v>53</v>
      </c>
      <c r="R40" s="203">
        <f t="shared" si="20"/>
        <v>0.0005369610388178817</v>
      </c>
      <c r="S40" s="203">
        <f t="shared" si="20"/>
        <v>2.6582229644449592E-05</v>
      </c>
      <c r="T40" s="203">
        <f t="shared" si="20"/>
        <v>0.00013992184615045444</v>
      </c>
      <c r="U40" s="203">
        <f t="shared" si="20"/>
        <v>1.2560833788036618E-05</v>
      </c>
      <c r="V40" s="203">
        <f t="shared" si="20"/>
        <v>53</v>
      </c>
      <c r="W40" s="203">
        <f t="shared" si="20"/>
        <v>0.0005369610388178817</v>
      </c>
      <c r="X40" s="203">
        <f t="shared" si="20"/>
        <v>2.6582229644449592E-05</v>
      </c>
      <c r="Y40" s="203">
        <f t="shared" si="20"/>
        <v>0.00013992184615045444</v>
      </c>
      <c r="Z40" s="203">
        <f t="shared" si="20"/>
        <v>1.2560833788036618E-05</v>
      </c>
      <c r="AA40" s="203">
        <f t="shared" si="20"/>
        <v>0</v>
      </c>
      <c r="AB40" s="203">
        <f t="shared" si="20"/>
        <v>0</v>
      </c>
      <c r="AC40" s="203">
        <f t="shared" si="20"/>
        <v>0</v>
      </c>
      <c r="AD40" s="424">
        <f t="shared" si="20"/>
        <v>0</v>
      </c>
      <c r="AE40" s="211">
        <f aca="true" t="shared" si="21" ref="AE40:AE73">ROUND(AE3,-3)</f>
        <v>0</v>
      </c>
      <c r="AF40" s="203">
        <f aca="true" t="shared" si="22" ref="AF40:AO40">AF3</f>
        <v>0</v>
      </c>
      <c r="AG40" s="203">
        <f t="shared" si="22"/>
        <v>0</v>
      </c>
      <c r="AH40" s="203">
        <f t="shared" si="22"/>
        <v>0</v>
      </c>
      <c r="AI40" s="203">
        <f t="shared" si="22"/>
        <v>0</v>
      </c>
      <c r="AJ40" s="203">
        <f t="shared" si="22"/>
        <v>0</v>
      </c>
      <c r="AK40" s="203">
        <f t="shared" si="22"/>
        <v>0</v>
      </c>
      <c r="AL40" s="203">
        <f t="shared" si="22"/>
        <v>0</v>
      </c>
      <c r="AM40" s="203">
        <f t="shared" si="22"/>
        <v>0</v>
      </c>
      <c r="AN40" s="203">
        <f t="shared" si="22"/>
        <v>0</v>
      </c>
      <c r="AO40" s="203">
        <f t="shared" si="22"/>
        <v>0</v>
      </c>
      <c r="AP40" s="203">
        <f aca="true" t="shared" si="23" ref="AP40:AP73">ROUND(AP3,-3)</f>
        <v>0</v>
      </c>
      <c r="AQ40" s="203">
        <f aca="true" t="shared" si="24" ref="AQ40:AZ40">AQ3</f>
        <v>0</v>
      </c>
      <c r="AR40" s="203">
        <f t="shared" si="24"/>
        <v>0</v>
      </c>
      <c r="AS40" s="203">
        <f t="shared" si="24"/>
        <v>0</v>
      </c>
      <c r="AT40" s="203">
        <f t="shared" si="24"/>
        <v>0</v>
      </c>
      <c r="AU40" s="203">
        <f t="shared" si="24"/>
        <v>0</v>
      </c>
      <c r="AV40" s="205">
        <f t="shared" si="24"/>
        <v>0</v>
      </c>
      <c r="AW40" s="203">
        <f t="shared" si="24"/>
        <v>0</v>
      </c>
      <c r="AX40" s="203">
        <f t="shared" si="24"/>
        <v>0</v>
      </c>
      <c r="AY40" s="203">
        <f t="shared" si="24"/>
        <v>0</v>
      </c>
      <c r="AZ40" s="205">
        <f t="shared" si="24"/>
        <v>0</v>
      </c>
    </row>
    <row r="41" spans="1:52" ht="12">
      <c r="A41" s="169">
        <v>-1</v>
      </c>
      <c r="B41" s="428">
        <v>2019</v>
      </c>
      <c r="C41" s="211">
        <f aca="true" t="shared" si="25" ref="C41:C72">ROUND(C4,-3)</f>
        <v>279000</v>
      </c>
      <c r="D41" s="203">
        <f t="shared" si="18"/>
        <v>2.8266946753920905</v>
      </c>
      <c r="E41" s="203">
        <f t="shared" si="18"/>
        <v>0.13993537996990546</v>
      </c>
      <c r="F41" s="203">
        <f t="shared" si="18"/>
        <v>0.7365829341273046</v>
      </c>
      <c r="G41" s="203">
        <f t="shared" si="18"/>
        <v>0.06612331141435093</v>
      </c>
      <c r="H41" s="203">
        <f t="shared" si="19"/>
        <v>279000</v>
      </c>
      <c r="I41" s="203">
        <f aca="true" t="shared" si="26" ref="I41:AD41">I4</f>
        <v>2.8266946753920905</v>
      </c>
      <c r="J41" s="203">
        <f t="shared" si="26"/>
        <v>0.13993537996990546</v>
      </c>
      <c r="K41" s="203">
        <f t="shared" si="26"/>
        <v>0.7365829341273046</v>
      </c>
      <c r="L41" s="203">
        <f t="shared" si="26"/>
        <v>0.06612331141435093</v>
      </c>
      <c r="M41" s="203">
        <f t="shared" si="26"/>
        <v>0</v>
      </c>
      <c r="N41" s="203">
        <f t="shared" si="26"/>
        <v>0</v>
      </c>
      <c r="O41" s="203">
        <f t="shared" si="26"/>
        <v>0</v>
      </c>
      <c r="P41" s="205">
        <f t="shared" si="26"/>
        <v>0</v>
      </c>
      <c r="Q41" s="211">
        <f t="shared" si="26"/>
        <v>53</v>
      </c>
      <c r="R41" s="203">
        <f t="shared" si="26"/>
        <v>0.0005369610388178817</v>
      </c>
      <c r="S41" s="203">
        <f t="shared" si="26"/>
        <v>2.6582229644449592E-05</v>
      </c>
      <c r="T41" s="203">
        <f t="shared" si="26"/>
        <v>0.00013992184615045444</v>
      </c>
      <c r="U41" s="203">
        <f t="shared" si="26"/>
        <v>1.2560833788036618E-05</v>
      </c>
      <c r="V41" s="203">
        <f t="shared" si="26"/>
        <v>53</v>
      </c>
      <c r="W41" s="203">
        <f t="shared" si="26"/>
        <v>0.0005369610388178817</v>
      </c>
      <c r="X41" s="203">
        <f t="shared" si="26"/>
        <v>2.6582229644449592E-05</v>
      </c>
      <c r="Y41" s="203">
        <f t="shared" si="26"/>
        <v>0.00013992184615045444</v>
      </c>
      <c r="Z41" s="203">
        <f t="shared" si="26"/>
        <v>1.2560833788036618E-05</v>
      </c>
      <c r="AA41" s="203">
        <f t="shared" si="26"/>
        <v>0</v>
      </c>
      <c r="AB41" s="203">
        <f t="shared" si="26"/>
        <v>0</v>
      </c>
      <c r="AC41" s="203">
        <f t="shared" si="26"/>
        <v>0</v>
      </c>
      <c r="AD41" s="424">
        <f t="shared" si="26"/>
        <v>0</v>
      </c>
      <c r="AE41" s="211">
        <f t="shared" si="21"/>
        <v>0</v>
      </c>
      <c r="AF41" s="203">
        <f aca="true" t="shared" si="27" ref="AF41:AO41">AF4</f>
        <v>0</v>
      </c>
      <c r="AG41" s="203">
        <f t="shared" si="27"/>
        <v>0</v>
      </c>
      <c r="AH41" s="203">
        <f t="shared" si="27"/>
        <v>0</v>
      </c>
      <c r="AI41" s="203">
        <f t="shared" si="27"/>
        <v>0</v>
      </c>
      <c r="AJ41" s="203">
        <f t="shared" si="27"/>
        <v>0</v>
      </c>
      <c r="AK41" s="203">
        <f t="shared" si="27"/>
        <v>0</v>
      </c>
      <c r="AL41" s="203">
        <f t="shared" si="27"/>
        <v>0</v>
      </c>
      <c r="AM41" s="203">
        <f t="shared" si="27"/>
        <v>0</v>
      </c>
      <c r="AN41" s="203">
        <f t="shared" si="27"/>
        <v>0</v>
      </c>
      <c r="AO41" s="203">
        <f t="shared" si="27"/>
        <v>0</v>
      </c>
      <c r="AP41" s="203">
        <f t="shared" si="23"/>
        <v>0</v>
      </c>
      <c r="AQ41" s="203">
        <f aca="true" t="shared" si="28" ref="AQ41:AZ41">AQ4</f>
        <v>0</v>
      </c>
      <c r="AR41" s="203">
        <f t="shared" si="28"/>
        <v>0</v>
      </c>
      <c r="AS41" s="203">
        <f t="shared" si="28"/>
        <v>0</v>
      </c>
      <c r="AT41" s="203">
        <f t="shared" si="28"/>
        <v>0</v>
      </c>
      <c r="AU41" s="203">
        <f t="shared" si="28"/>
        <v>0</v>
      </c>
      <c r="AV41" s="205">
        <f t="shared" si="28"/>
        <v>0</v>
      </c>
      <c r="AW41" s="203">
        <f t="shared" si="28"/>
        <v>0</v>
      </c>
      <c r="AX41" s="203">
        <f t="shared" si="28"/>
        <v>0</v>
      </c>
      <c r="AY41" s="203">
        <f t="shared" si="28"/>
        <v>0</v>
      </c>
      <c r="AZ41" s="205">
        <f t="shared" si="28"/>
        <v>0</v>
      </c>
    </row>
    <row r="42" spans="1:52" ht="12">
      <c r="A42" s="169">
        <v>0</v>
      </c>
      <c r="B42" s="428">
        <v>2020</v>
      </c>
      <c r="C42" s="211">
        <f t="shared" si="25"/>
        <v>303000</v>
      </c>
      <c r="D42" s="203">
        <f t="shared" si="18"/>
        <v>3.0735279477616024</v>
      </c>
      <c r="E42" s="203">
        <f t="shared" si="18"/>
        <v>0.1521548488990892</v>
      </c>
      <c r="F42" s="203">
        <f t="shared" si="18"/>
        <v>0.8009029958534476</v>
      </c>
      <c r="G42" s="203">
        <f t="shared" si="18"/>
        <v>0.0718973461830861</v>
      </c>
      <c r="H42" s="203">
        <f t="shared" si="19"/>
        <v>303000</v>
      </c>
      <c r="I42" s="203">
        <f aca="true" t="shared" si="29" ref="I42:AD42">I5</f>
        <v>3.0735279477616024</v>
      </c>
      <c r="J42" s="203">
        <f t="shared" si="29"/>
        <v>0.1521548488990892</v>
      </c>
      <c r="K42" s="203">
        <f t="shared" si="29"/>
        <v>0.8009029958534476</v>
      </c>
      <c r="L42" s="203">
        <f t="shared" si="29"/>
        <v>0.0718973461830861</v>
      </c>
      <c r="M42" s="203">
        <f t="shared" si="29"/>
        <v>0</v>
      </c>
      <c r="N42" s="203">
        <f t="shared" si="29"/>
        <v>0</v>
      </c>
      <c r="O42" s="203">
        <f t="shared" si="29"/>
        <v>0</v>
      </c>
      <c r="P42" s="205">
        <f t="shared" si="29"/>
        <v>0</v>
      </c>
      <c r="Q42" s="211">
        <f t="shared" si="29"/>
        <v>53</v>
      </c>
      <c r="R42" s="203">
        <f t="shared" si="29"/>
        <v>0.0005369610388178817</v>
      </c>
      <c r="S42" s="203">
        <f t="shared" si="29"/>
        <v>2.6582229644449592E-05</v>
      </c>
      <c r="T42" s="203">
        <f t="shared" si="29"/>
        <v>0.00013992184615045444</v>
      </c>
      <c r="U42" s="203">
        <f t="shared" si="29"/>
        <v>1.2560833788036618E-05</v>
      </c>
      <c r="V42" s="203">
        <f t="shared" si="29"/>
        <v>53</v>
      </c>
      <c r="W42" s="203">
        <f t="shared" si="29"/>
        <v>0.0006420630852582439</v>
      </c>
      <c r="X42" s="203">
        <f t="shared" si="29"/>
        <v>3.184025309060446E-05</v>
      </c>
      <c r="Y42" s="203">
        <f t="shared" si="29"/>
        <v>0.000181635498823283</v>
      </c>
      <c r="Z42" s="203">
        <f t="shared" si="29"/>
        <v>1.3904550890942861E-05</v>
      </c>
      <c r="AA42" s="203">
        <f t="shared" si="29"/>
        <v>0</v>
      </c>
      <c r="AB42" s="203">
        <f t="shared" si="29"/>
        <v>-5.258023446154865E-06</v>
      </c>
      <c r="AC42" s="203">
        <f t="shared" si="29"/>
        <v>-4.171365267282857E-05</v>
      </c>
      <c r="AD42" s="424">
        <f t="shared" si="29"/>
        <v>-1.343717102906243E-06</v>
      </c>
      <c r="AE42" s="211">
        <f t="shared" si="21"/>
        <v>0</v>
      </c>
      <c r="AF42" s="203">
        <f aca="true" t="shared" si="30" ref="AF42:AO42">AF5</f>
        <v>0</v>
      </c>
      <c r="AG42" s="203">
        <f t="shared" si="30"/>
        <v>0</v>
      </c>
      <c r="AH42" s="203">
        <f t="shared" si="30"/>
        <v>0</v>
      </c>
      <c r="AI42" s="203">
        <f t="shared" si="30"/>
        <v>0</v>
      </c>
      <c r="AJ42" s="203">
        <f t="shared" si="30"/>
        <v>0</v>
      </c>
      <c r="AK42" s="203">
        <f t="shared" si="30"/>
        <v>0</v>
      </c>
      <c r="AL42" s="203">
        <f t="shared" si="30"/>
        <v>0</v>
      </c>
      <c r="AM42" s="203">
        <f t="shared" si="30"/>
        <v>0</v>
      </c>
      <c r="AN42" s="203">
        <f t="shared" si="30"/>
        <v>0</v>
      </c>
      <c r="AO42" s="203">
        <f t="shared" si="30"/>
        <v>0</v>
      </c>
      <c r="AP42" s="203">
        <f t="shared" si="23"/>
        <v>0</v>
      </c>
      <c r="AQ42" s="203">
        <f aca="true" t="shared" si="31" ref="AQ42:AZ42">AQ5</f>
        <v>0</v>
      </c>
      <c r="AR42" s="203">
        <f t="shared" si="31"/>
        <v>0</v>
      </c>
      <c r="AS42" s="203">
        <f t="shared" si="31"/>
        <v>0</v>
      </c>
      <c r="AT42" s="203">
        <f t="shared" si="31"/>
        <v>0</v>
      </c>
      <c r="AU42" s="203">
        <f t="shared" si="31"/>
        <v>0</v>
      </c>
      <c r="AV42" s="205">
        <f t="shared" si="31"/>
        <v>0</v>
      </c>
      <c r="AW42" s="203">
        <f t="shared" si="31"/>
        <v>0</v>
      </c>
      <c r="AX42" s="203">
        <f t="shared" si="31"/>
        <v>-5.258023446154865E-06</v>
      </c>
      <c r="AY42" s="203">
        <f t="shared" si="31"/>
        <v>-4.171365267282857E-05</v>
      </c>
      <c r="AZ42" s="205">
        <f t="shared" si="31"/>
        <v>-1.343717102906243E-06</v>
      </c>
    </row>
    <row r="43" spans="1:52" ht="12">
      <c r="A43" s="169">
        <v>1</v>
      </c>
      <c r="B43" s="428">
        <v>2021</v>
      </c>
      <c r="C43" s="214">
        <f t="shared" si="25"/>
        <v>330000</v>
      </c>
      <c r="D43" s="174">
        <f t="shared" si="18"/>
        <v>3.3419152510206342</v>
      </c>
      <c r="E43" s="174">
        <f t="shared" si="18"/>
        <v>0.1654413490604274</v>
      </c>
      <c r="F43" s="174">
        <f t="shared" si="18"/>
        <v>0.8708396285708212</v>
      </c>
      <c r="G43" s="174">
        <f t="shared" si="18"/>
        <v>0.0781755825230591</v>
      </c>
      <c r="H43" s="421">
        <f t="shared" si="19"/>
        <v>103000</v>
      </c>
      <c r="I43" s="174">
        <f aca="true" t="shared" si="32" ref="I43:AD43">I6</f>
        <v>1.2476984169943421</v>
      </c>
      <c r="J43" s="174">
        <f t="shared" si="32"/>
        <v>0.061874034327744895</v>
      </c>
      <c r="K43" s="174">
        <f t="shared" si="32"/>
        <v>0.352965821513686</v>
      </c>
      <c r="L43" s="174">
        <f t="shared" si="32"/>
        <v>0.027020220495418867</v>
      </c>
      <c r="M43" s="174">
        <f t="shared" si="32"/>
        <v>2.094216834026292</v>
      </c>
      <c r="N43" s="174">
        <f t="shared" si="32"/>
        <v>0.1035673147326825</v>
      </c>
      <c r="O43" s="174">
        <f t="shared" si="32"/>
        <v>0.5178738070571351</v>
      </c>
      <c r="P43" s="215">
        <f t="shared" si="32"/>
        <v>0.05115536202764023</v>
      </c>
      <c r="Q43" s="499">
        <f t="shared" si="32"/>
        <v>53</v>
      </c>
      <c r="R43" s="174">
        <f t="shared" si="32"/>
        <v>0.0005369610388178817</v>
      </c>
      <c r="S43" s="174">
        <f t="shared" si="32"/>
        <v>2.6582229644449592E-05</v>
      </c>
      <c r="T43" s="174">
        <f t="shared" si="32"/>
        <v>0.00013992184615045444</v>
      </c>
      <c r="U43" s="174">
        <f t="shared" si="32"/>
        <v>1.2560833788036618E-05</v>
      </c>
      <c r="V43" s="501">
        <f t="shared" si="32"/>
        <v>25</v>
      </c>
      <c r="W43" s="174">
        <f t="shared" si="32"/>
        <v>0.00030285994587653014</v>
      </c>
      <c r="X43" s="174">
        <f t="shared" si="32"/>
        <v>1.5018987306888894E-05</v>
      </c>
      <c r="Y43" s="174">
        <f t="shared" si="32"/>
        <v>8.567712208645424E-05</v>
      </c>
      <c r="Z43" s="174">
        <f t="shared" si="32"/>
        <v>6.5587504202560665E-06</v>
      </c>
      <c r="AA43" s="174">
        <f t="shared" si="32"/>
        <v>0.00023410109294135157</v>
      </c>
      <c r="AB43" s="174">
        <f t="shared" si="32"/>
        <v>1.1563242337560698E-05</v>
      </c>
      <c r="AC43" s="174">
        <f t="shared" si="32"/>
        <v>5.4244724064000195E-05</v>
      </c>
      <c r="AD43" s="425">
        <f t="shared" si="32"/>
        <v>6.002083367780552E-06</v>
      </c>
      <c r="AE43" s="214">
        <f t="shared" si="21"/>
        <v>3508000</v>
      </c>
      <c r="AF43" s="174">
        <f aca="true" t="shared" si="33" ref="AF43:AO43">AF6</f>
        <v>35.53569883585274</v>
      </c>
      <c r="AG43" s="174">
        <f t="shared" si="33"/>
        <v>1.759193011675878</v>
      </c>
      <c r="AH43" s="174">
        <f t="shared" si="33"/>
        <v>9.259928050469732</v>
      </c>
      <c r="AI43" s="174">
        <f t="shared" si="33"/>
        <v>0.8312670274951951</v>
      </c>
      <c r="AJ43" s="421">
        <f t="shared" si="33"/>
        <v>0</v>
      </c>
      <c r="AK43" s="174">
        <f t="shared" si="33"/>
        <v>0</v>
      </c>
      <c r="AL43" s="174">
        <f t="shared" si="33"/>
        <v>0</v>
      </c>
      <c r="AM43" s="174">
        <f t="shared" si="33"/>
        <v>0</v>
      </c>
      <c r="AN43" s="174">
        <f t="shared" si="33"/>
        <v>0</v>
      </c>
      <c r="AO43" s="174">
        <f t="shared" si="33"/>
        <v>9.346009063023903</v>
      </c>
      <c r="AP43" s="174">
        <f t="shared" si="23"/>
        <v>7000</v>
      </c>
      <c r="AQ43" s="174">
        <f aca="true" t="shared" si="34" ref="AQ43:AZ43">AQ6</f>
        <v>0.005046433835911781</v>
      </c>
      <c r="AR43" s="174">
        <f t="shared" si="34"/>
        <v>0.0001254809001335242</v>
      </c>
      <c r="AS43" s="174">
        <f t="shared" si="34"/>
        <v>35.53065240201683</v>
      </c>
      <c r="AT43" s="174">
        <f t="shared" si="34"/>
        <v>1.759193011675878</v>
      </c>
      <c r="AU43" s="174">
        <f t="shared" si="34"/>
        <v>9.259928050469732</v>
      </c>
      <c r="AV43" s="215">
        <f t="shared" si="34"/>
        <v>0.8311415465950616</v>
      </c>
      <c r="AW43" s="174">
        <f t="shared" si="34"/>
        <v>37.62510333713606</v>
      </c>
      <c r="AX43" s="174">
        <f t="shared" si="34"/>
        <v>1.862771889650898</v>
      </c>
      <c r="AY43" s="174">
        <f t="shared" si="34"/>
        <v>9.777856102250931</v>
      </c>
      <c r="AZ43" s="215">
        <f t="shared" si="34"/>
        <v>0.8823029107060696</v>
      </c>
    </row>
    <row r="44" spans="1:52" ht="12">
      <c r="A44" s="169">
        <v>2</v>
      </c>
      <c r="B44" s="428">
        <v>2022</v>
      </c>
      <c r="C44" s="214">
        <f t="shared" si="25"/>
        <v>330000</v>
      </c>
      <c r="D44" s="174">
        <f t="shared" si="18"/>
        <v>3.3419152510206342</v>
      </c>
      <c r="E44" s="174">
        <f t="shared" si="18"/>
        <v>0.1654413490604274</v>
      </c>
      <c r="F44" s="174">
        <f t="shared" si="18"/>
        <v>0.8708396285708212</v>
      </c>
      <c r="G44" s="174">
        <f t="shared" si="18"/>
        <v>0.0781755825230591</v>
      </c>
      <c r="H44" s="421">
        <f t="shared" si="19"/>
        <v>103000</v>
      </c>
      <c r="I44" s="174">
        <f aca="true" t="shared" si="35" ref="I44:AD44">I7</f>
        <v>1.2476984169943421</v>
      </c>
      <c r="J44" s="174">
        <f t="shared" si="35"/>
        <v>0.061874034327744895</v>
      </c>
      <c r="K44" s="174">
        <f t="shared" si="35"/>
        <v>0.352965821513686</v>
      </c>
      <c r="L44" s="174">
        <f t="shared" si="35"/>
        <v>0.027020220495418867</v>
      </c>
      <c r="M44" s="174">
        <f t="shared" si="35"/>
        <v>2.094216834026292</v>
      </c>
      <c r="N44" s="174">
        <f t="shared" si="35"/>
        <v>0.1035673147326825</v>
      </c>
      <c r="O44" s="174">
        <f t="shared" si="35"/>
        <v>0.5178738070571351</v>
      </c>
      <c r="P44" s="215">
        <f t="shared" si="35"/>
        <v>0.05115536202764023</v>
      </c>
      <c r="Q44" s="499">
        <f t="shared" si="35"/>
        <v>53</v>
      </c>
      <c r="R44" s="174">
        <f t="shared" si="35"/>
        <v>0.0005369610388178817</v>
      </c>
      <c r="S44" s="174">
        <f t="shared" si="35"/>
        <v>2.6582229644449592E-05</v>
      </c>
      <c r="T44" s="174">
        <f t="shared" si="35"/>
        <v>0.00013992184615045444</v>
      </c>
      <c r="U44" s="174">
        <f t="shared" si="35"/>
        <v>1.2560833788036618E-05</v>
      </c>
      <c r="V44" s="501">
        <f t="shared" si="35"/>
        <v>25</v>
      </c>
      <c r="W44" s="174">
        <f t="shared" si="35"/>
        <v>0.00030285994587653014</v>
      </c>
      <c r="X44" s="174">
        <f t="shared" si="35"/>
        <v>1.5018987306888894E-05</v>
      </c>
      <c r="Y44" s="174">
        <f t="shared" si="35"/>
        <v>8.567712208645424E-05</v>
      </c>
      <c r="Z44" s="174">
        <f t="shared" si="35"/>
        <v>6.5587504202560665E-06</v>
      </c>
      <c r="AA44" s="174">
        <f t="shared" si="35"/>
        <v>0.00023410109294135157</v>
      </c>
      <c r="AB44" s="174">
        <f t="shared" si="35"/>
        <v>1.1563242337560698E-05</v>
      </c>
      <c r="AC44" s="174">
        <f t="shared" si="35"/>
        <v>5.4244724064000195E-05</v>
      </c>
      <c r="AD44" s="425">
        <f t="shared" si="35"/>
        <v>6.002083367780552E-06</v>
      </c>
      <c r="AE44" s="214">
        <f t="shared" si="21"/>
        <v>3508000</v>
      </c>
      <c r="AF44" s="174">
        <f aca="true" t="shared" si="36" ref="AF44:AO44">AF7</f>
        <v>35.53569883585274</v>
      </c>
      <c r="AG44" s="174">
        <f t="shared" si="36"/>
        <v>1.759193011675878</v>
      </c>
      <c r="AH44" s="174">
        <f t="shared" si="36"/>
        <v>9.259928050469732</v>
      </c>
      <c r="AI44" s="174">
        <f t="shared" si="36"/>
        <v>0.8312670274951951</v>
      </c>
      <c r="AJ44" s="421">
        <f t="shared" si="36"/>
        <v>0</v>
      </c>
      <c r="AK44" s="174">
        <f t="shared" si="36"/>
        <v>0</v>
      </c>
      <c r="AL44" s="174">
        <f t="shared" si="36"/>
        <v>0</v>
      </c>
      <c r="AM44" s="174">
        <f t="shared" si="36"/>
        <v>0</v>
      </c>
      <c r="AN44" s="174">
        <f t="shared" si="36"/>
        <v>0</v>
      </c>
      <c r="AO44" s="174">
        <f t="shared" si="36"/>
        <v>9.346009063023903</v>
      </c>
      <c r="AP44" s="174">
        <f t="shared" si="23"/>
        <v>7000</v>
      </c>
      <c r="AQ44" s="174">
        <f aca="true" t="shared" si="37" ref="AQ44:AZ44">AQ7</f>
        <v>0.005046433835911781</v>
      </c>
      <c r="AR44" s="174">
        <f t="shared" si="37"/>
        <v>0.0001254809001335242</v>
      </c>
      <c r="AS44" s="174">
        <f t="shared" si="37"/>
        <v>35.53065240201683</v>
      </c>
      <c r="AT44" s="174">
        <f t="shared" si="37"/>
        <v>1.759193011675878</v>
      </c>
      <c r="AU44" s="174">
        <f t="shared" si="37"/>
        <v>9.259928050469732</v>
      </c>
      <c r="AV44" s="215">
        <f t="shared" si="37"/>
        <v>0.8311415465950616</v>
      </c>
      <c r="AW44" s="174">
        <f t="shared" si="37"/>
        <v>37.62510333713606</v>
      </c>
      <c r="AX44" s="174">
        <f t="shared" si="37"/>
        <v>1.862771889650898</v>
      </c>
      <c r="AY44" s="174">
        <f t="shared" si="37"/>
        <v>9.777856102250931</v>
      </c>
      <c r="AZ44" s="215">
        <f t="shared" si="37"/>
        <v>0.8823029107060696</v>
      </c>
    </row>
    <row r="45" spans="1:52" ht="12">
      <c r="A45" s="169">
        <v>3</v>
      </c>
      <c r="B45" s="428">
        <v>2023</v>
      </c>
      <c r="C45" s="214">
        <f t="shared" si="25"/>
        <v>330000</v>
      </c>
      <c r="D45" s="174">
        <f t="shared" si="18"/>
        <v>3.3419152510206342</v>
      </c>
      <c r="E45" s="174">
        <f t="shared" si="18"/>
        <v>0.1654413490604274</v>
      </c>
      <c r="F45" s="174">
        <f t="shared" si="18"/>
        <v>0.8708396285708212</v>
      </c>
      <c r="G45" s="174">
        <f t="shared" si="18"/>
        <v>0.0781755825230591</v>
      </c>
      <c r="H45" s="421">
        <f t="shared" si="19"/>
        <v>103000</v>
      </c>
      <c r="I45" s="174">
        <f aca="true" t="shared" si="38" ref="I45:AD45">I8</f>
        <v>1.2476984169943421</v>
      </c>
      <c r="J45" s="174">
        <f t="shared" si="38"/>
        <v>0.061874034327744895</v>
      </c>
      <c r="K45" s="174">
        <f t="shared" si="38"/>
        <v>0.352965821513686</v>
      </c>
      <c r="L45" s="174">
        <f t="shared" si="38"/>
        <v>0.027020220495418867</v>
      </c>
      <c r="M45" s="174">
        <f t="shared" si="38"/>
        <v>2.094216834026292</v>
      </c>
      <c r="N45" s="174">
        <f t="shared" si="38"/>
        <v>0.1035673147326825</v>
      </c>
      <c r="O45" s="174">
        <f t="shared" si="38"/>
        <v>0.5178738070571351</v>
      </c>
      <c r="P45" s="215">
        <f t="shared" si="38"/>
        <v>0.05115536202764023</v>
      </c>
      <c r="Q45" s="499">
        <f t="shared" si="38"/>
        <v>53</v>
      </c>
      <c r="R45" s="174">
        <f t="shared" si="38"/>
        <v>0.0005369610388178817</v>
      </c>
      <c r="S45" s="174">
        <f t="shared" si="38"/>
        <v>2.6582229644449592E-05</v>
      </c>
      <c r="T45" s="174">
        <f t="shared" si="38"/>
        <v>0.00013992184615045444</v>
      </c>
      <c r="U45" s="174">
        <f t="shared" si="38"/>
        <v>1.2560833788036618E-05</v>
      </c>
      <c r="V45" s="501">
        <f t="shared" si="38"/>
        <v>25</v>
      </c>
      <c r="W45" s="174">
        <f t="shared" si="38"/>
        <v>0.00030285994587653014</v>
      </c>
      <c r="X45" s="174">
        <f t="shared" si="38"/>
        <v>1.5018987306888894E-05</v>
      </c>
      <c r="Y45" s="174">
        <f t="shared" si="38"/>
        <v>8.567712208645424E-05</v>
      </c>
      <c r="Z45" s="174">
        <f t="shared" si="38"/>
        <v>6.5587504202560665E-06</v>
      </c>
      <c r="AA45" s="174">
        <f t="shared" si="38"/>
        <v>0.00023410109294135157</v>
      </c>
      <c r="AB45" s="174">
        <f t="shared" si="38"/>
        <v>1.1563242337560698E-05</v>
      </c>
      <c r="AC45" s="174">
        <f t="shared" si="38"/>
        <v>5.4244724064000195E-05</v>
      </c>
      <c r="AD45" s="425">
        <f t="shared" si="38"/>
        <v>6.002083367780552E-06</v>
      </c>
      <c r="AE45" s="214">
        <f t="shared" si="21"/>
        <v>3508000</v>
      </c>
      <c r="AF45" s="174">
        <f aca="true" t="shared" si="39" ref="AF45:AO45">AF8</f>
        <v>35.53569883585274</v>
      </c>
      <c r="AG45" s="174">
        <f t="shared" si="39"/>
        <v>1.759193011675878</v>
      </c>
      <c r="AH45" s="174">
        <f t="shared" si="39"/>
        <v>9.259928050469732</v>
      </c>
      <c r="AI45" s="174">
        <f t="shared" si="39"/>
        <v>0.8312670274951951</v>
      </c>
      <c r="AJ45" s="421">
        <f t="shared" si="39"/>
        <v>0</v>
      </c>
      <c r="AK45" s="174">
        <f t="shared" si="39"/>
        <v>0</v>
      </c>
      <c r="AL45" s="174">
        <f t="shared" si="39"/>
        <v>0</v>
      </c>
      <c r="AM45" s="174">
        <f t="shared" si="39"/>
        <v>0</v>
      </c>
      <c r="AN45" s="174">
        <f t="shared" si="39"/>
        <v>0</v>
      </c>
      <c r="AO45" s="174">
        <f t="shared" si="39"/>
        <v>9.346009063023903</v>
      </c>
      <c r="AP45" s="174">
        <f t="shared" si="23"/>
        <v>7000</v>
      </c>
      <c r="AQ45" s="174">
        <f aca="true" t="shared" si="40" ref="AQ45:AZ45">AQ8</f>
        <v>0.005046433835911781</v>
      </c>
      <c r="AR45" s="174">
        <f t="shared" si="40"/>
        <v>0.0001254809001335242</v>
      </c>
      <c r="AS45" s="174">
        <f t="shared" si="40"/>
        <v>35.53065240201683</v>
      </c>
      <c r="AT45" s="174">
        <f t="shared" si="40"/>
        <v>1.759193011675878</v>
      </c>
      <c r="AU45" s="174">
        <f t="shared" si="40"/>
        <v>9.259928050469732</v>
      </c>
      <c r="AV45" s="215">
        <f t="shared" si="40"/>
        <v>0.8311415465950616</v>
      </c>
      <c r="AW45" s="174">
        <f t="shared" si="40"/>
        <v>37.62510333713606</v>
      </c>
      <c r="AX45" s="174">
        <f t="shared" si="40"/>
        <v>1.862771889650898</v>
      </c>
      <c r="AY45" s="174">
        <f t="shared" si="40"/>
        <v>9.777856102250931</v>
      </c>
      <c r="AZ45" s="215">
        <f t="shared" si="40"/>
        <v>0.8823029107060696</v>
      </c>
    </row>
    <row r="46" spans="1:52" ht="12">
      <c r="A46" s="169">
        <v>4</v>
      </c>
      <c r="B46" s="428">
        <v>2024</v>
      </c>
      <c r="C46" s="214">
        <f t="shared" si="25"/>
        <v>330000</v>
      </c>
      <c r="D46" s="174">
        <f t="shared" si="18"/>
        <v>3.3419152510206342</v>
      </c>
      <c r="E46" s="174">
        <f t="shared" si="18"/>
        <v>0.1654413490604274</v>
      </c>
      <c r="F46" s="174">
        <f t="shared" si="18"/>
        <v>0.8708396285708212</v>
      </c>
      <c r="G46" s="174">
        <f t="shared" si="18"/>
        <v>0.0781755825230591</v>
      </c>
      <c r="H46" s="421">
        <f t="shared" si="19"/>
        <v>103000</v>
      </c>
      <c r="I46" s="174">
        <f aca="true" t="shared" si="41" ref="I46:AD46">I9</f>
        <v>1.2476984169943421</v>
      </c>
      <c r="J46" s="174">
        <f t="shared" si="41"/>
        <v>0.061874034327744895</v>
      </c>
      <c r="K46" s="174">
        <f t="shared" si="41"/>
        <v>0.352965821513686</v>
      </c>
      <c r="L46" s="174">
        <f t="shared" si="41"/>
        <v>0.027020220495418867</v>
      </c>
      <c r="M46" s="174">
        <f t="shared" si="41"/>
        <v>2.094216834026292</v>
      </c>
      <c r="N46" s="174">
        <f t="shared" si="41"/>
        <v>0.1035673147326825</v>
      </c>
      <c r="O46" s="174">
        <f t="shared" si="41"/>
        <v>0.5178738070571351</v>
      </c>
      <c r="P46" s="215">
        <f t="shared" si="41"/>
        <v>0.05115536202764023</v>
      </c>
      <c r="Q46" s="499">
        <f t="shared" si="41"/>
        <v>53</v>
      </c>
      <c r="R46" s="174">
        <f t="shared" si="41"/>
        <v>0.0005369610388178817</v>
      </c>
      <c r="S46" s="174">
        <f t="shared" si="41"/>
        <v>2.6582229644449592E-05</v>
      </c>
      <c r="T46" s="174">
        <f t="shared" si="41"/>
        <v>0.00013992184615045444</v>
      </c>
      <c r="U46" s="174">
        <f t="shared" si="41"/>
        <v>1.2560833788036618E-05</v>
      </c>
      <c r="V46" s="501">
        <f t="shared" si="41"/>
        <v>25</v>
      </c>
      <c r="W46" s="174">
        <f t="shared" si="41"/>
        <v>0.00030285994587653014</v>
      </c>
      <c r="X46" s="174">
        <f t="shared" si="41"/>
        <v>1.5018987306888894E-05</v>
      </c>
      <c r="Y46" s="174">
        <f t="shared" si="41"/>
        <v>8.567712208645424E-05</v>
      </c>
      <c r="Z46" s="174">
        <f t="shared" si="41"/>
        <v>6.5587504202560665E-06</v>
      </c>
      <c r="AA46" s="174">
        <f t="shared" si="41"/>
        <v>0.00023410109294135157</v>
      </c>
      <c r="AB46" s="174">
        <f t="shared" si="41"/>
        <v>1.1563242337560698E-05</v>
      </c>
      <c r="AC46" s="174">
        <f t="shared" si="41"/>
        <v>5.4244724064000195E-05</v>
      </c>
      <c r="AD46" s="425">
        <f t="shared" si="41"/>
        <v>6.002083367780552E-06</v>
      </c>
      <c r="AE46" s="214">
        <f t="shared" si="21"/>
        <v>3508000</v>
      </c>
      <c r="AF46" s="174">
        <f aca="true" t="shared" si="42" ref="AF46:AO46">AF9</f>
        <v>35.53569883585274</v>
      </c>
      <c r="AG46" s="174">
        <f t="shared" si="42"/>
        <v>1.759193011675878</v>
      </c>
      <c r="AH46" s="174">
        <f t="shared" si="42"/>
        <v>9.259928050469732</v>
      </c>
      <c r="AI46" s="174">
        <f t="shared" si="42"/>
        <v>0.8312670274951951</v>
      </c>
      <c r="AJ46" s="421">
        <f t="shared" si="42"/>
        <v>0</v>
      </c>
      <c r="AK46" s="174">
        <f t="shared" si="42"/>
        <v>0</v>
      </c>
      <c r="AL46" s="174">
        <f t="shared" si="42"/>
        <v>0</v>
      </c>
      <c r="AM46" s="174">
        <f t="shared" si="42"/>
        <v>0</v>
      </c>
      <c r="AN46" s="174">
        <f t="shared" si="42"/>
        <v>0</v>
      </c>
      <c r="AO46" s="174">
        <f t="shared" si="42"/>
        <v>9.346009063023903</v>
      </c>
      <c r="AP46" s="174">
        <f t="shared" si="23"/>
        <v>7000</v>
      </c>
      <c r="AQ46" s="174">
        <f aca="true" t="shared" si="43" ref="AQ46:AZ46">AQ9</f>
        <v>0.005046433835911781</v>
      </c>
      <c r="AR46" s="174">
        <f t="shared" si="43"/>
        <v>0.0001254809001335242</v>
      </c>
      <c r="AS46" s="174">
        <f t="shared" si="43"/>
        <v>35.53065240201683</v>
      </c>
      <c r="AT46" s="174">
        <f t="shared" si="43"/>
        <v>1.759193011675878</v>
      </c>
      <c r="AU46" s="174">
        <f t="shared" si="43"/>
        <v>9.259928050469732</v>
      </c>
      <c r="AV46" s="215">
        <f t="shared" si="43"/>
        <v>0.8311415465950616</v>
      </c>
      <c r="AW46" s="174">
        <f t="shared" si="43"/>
        <v>37.62510333713606</v>
      </c>
      <c r="AX46" s="174">
        <f t="shared" si="43"/>
        <v>1.862771889650898</v>
      </c>
      <c r="AY46" s="174">
        <f t="shared" si="43"/>
        <v>9.777856102250931</v>
      </c>
      <c r="AZ46" s="215">
        <f t="shared" si="43"/>
        <v>0.8823029107060696</v>
      </c>
    </row>
    <row r="47" spans="1:52" ht="12">
      <c r="A47" s="169">
        <v>5</v>
      </c>
      <c r="B47" s="428">
        <v>2025</v>
      </c>
      <c r="C47" s="214">
        <f t="shared" si="25"/>
        <v>330000</v>
      </c>
      <c r="D47" s="174">
        <f t="shared" si="18"/>
        <v>3.3419152510206342</v>
      </c>
      <c r="E47" s="174">
        <f t="shared" si="18"/>
        <v>0.1654413490604274</v>
      </c>
      <c r="F47" s="174">
        <f t="shared" si="18"/>
        <v>0.8708396285708212</v>
      </c>
      <c r="G47" s="174">
        <f t="shared" si="18"/>
        <v>0.0781755825230591</v>
      </c>
      <c r="H47" s="421">
        <f t="shared" si="19"/>
        <v>103000</v>
      </c>
      <c r="I47" s="174">
        <f aca="true" t="shared" si="44" ref="I47:AD47">I10</f>
        <v>1.2476984169943421</v>
      </c>
      <c r="J47" s="174">
        <f t="shared" si="44"/>
        <v>0.061874034327744895</v>
      </c>
      <c r="K47" s="174">
        <f t="shared" si="44"/>
        <v>0.352965821513686</v>
      </c>
      <c r="L47" s="174">
        <f t="shared" si="44"/>
        <v>0.027020220495418867</v>
      </c>
      <c r="M47" s="174">
        <f t="shared" si="44"/>
        <v>2.094216834026292</v>
      </c>
      <c r="N47" s="174">
        <f t="shared" si="44"/>
        <v>0.1035673147326825</v>
      </c>
      <c r="O47" s="174">
        <f t="shared" si="44"/>
        <v>0.5178738070571351</v>
      </c>
      <c r="P47" s="215">
        <f t="shared" si="44"/>
        <v>0.05115536202764023</v>
      </c>
      <c r="Q47" s="499">
        <f t="shared" si="44"/>
        <v>53</v>
      </c>
      <c r="R47" s="174">
        <f t="shared" si="44"/>
        <v>0.0005369610388178817</v>
      </c>
      <c r="S47" s="174">
        <f t="shared" si="44"/>
        <v>2.6582229644449592E-05</v>
      </c>
      <c r="T47" s="174">
        <f t="shared" si="44"/>
        <v>0.00013992184615045444</v>
      </c>
      <c r="U47" s="174">
        <f t="shared" si="44"/>
        <v>1.2560833788036618E-05</v>
      </c>
      <c r="V47" s="501">
        <f t="shared" si="44"/>
        <v>25</v>
      </c>
      <c r="W47" s="174">
        <f t="shared" si="44"/>
        <v>0.00030285994587653014</v>
      </c>
      <c r="X47" s="174">
        <f t="shared" si="44"/>
        <v>1.5018987306888894E-05</v>
      </c>
      <c r="Y47" s="174">
        <f t="shared" si="44"/>
        <v>8.567712208645424E-05</v>
      </c>
      <c r="Z47" s="174">
        <f t="shared" si="44"/>
        <v>6.5587504202560665E-06</v>
      </c>
      <c r="AA47" s="174">
        <f t="shared" si="44"/>
        <v>0.00023410109294135157</v>
      </c>
      <c r="AB47" s="174">
        <f t="shared" si="44"/>
        <v>1.1563242337560698E-05</v>
      </c>
      <c r="AC47" s="174">
        <f t="shared" si="44"/>
        <v>5.4244724064000195E-05</v>
      </c>
      <c r="AD47" s="425">
        <f t="shared" si="44"/>
        <v>6.002083367780552E-06</v>
      </c>
      <c r="AE47" s="214">
        <f t="shared" si="21"/>
        <v>3508000</v>
      </c>
      <c r="AF47" s="174">
        <f aca="true" t="shared" si="45" ref="AF47:AO47">AF10</f>
        <v>35.53569883585274</v>
      </c>
      <c r="AG47" s="174">
        <f t="shared" si="45"/>
        <v>1.759193011675878</v>
      </c>
      <c r="AH47" s="174">
        <f t="shared" si="45"/>
        <v>9.259928050469732</v>
      </c>
      <c r="AI47" s="174">
        <f t="shared" si="45"/>
        <v>0.8312670274951951</v>
      </c>
      <c r="AJ47" s="421">
        <f t="shared" si="45"/>
        <v>0</v>
      </c>
      <c r="AK47" s="174">
        <f t="shared" si="45"/>
        <v>0</v>
      </c>
      <c r="AL47" s="174">
        <f t="shared" si="45"/>
        <v>0</v>
      </c>
      <c r="AM47" s="174">
        <f t="shared" si="45"/>
        <v>0</v>
      </c>
      <c r="AN47" s="174">
        <f t="shared" si="45"/>
        <v>0</v>
      </c>
      <c r="AO47" s="174">
        <f t="shared" si="45"/>
        <v>9.346009063023903</v>
      </c>
      <c r="AP47" s="174">
        <f t="shared" si="23"/>
        <v>7000</v>
      </c>
      <c r="AQ47" s="174">
        <f aca="true" t="shared" si="46" ref="AQ47:AZ47">AQ10</f>
        <v>0.005046433835911781</v>
      </c>
      <c r="AR47" s="174">
        <f t="shared" si="46"/>
        <v>0.0001254809001335242</v>
      </c>
      <c r="AS47" s="174">
        <f t="shared" si="46"/>
        <v>35.53065240201683</v>
      </c>
      <c r="AT47" s="174">
        <f t="shared" si="46"/>
        <v>1.759193011675878</v>
      </c>
      <c r="AU47" s="174">
        <f t="shared" si="46"/>
        <v>9.259928050469732</v>
      </c>
      <c r="AV47" s="215">
        <f t="shared" si="46"/>
        <v>0.8311415465950616</v>
      </c>
      <c r="AW47" s="174">
        <f t="shared" si="46"/>
        <v>37.62510333713606</v>
      </c>
      <c r="AX47" s="174">
        <f t="shared" si="46"/>
        <v>1.862771889650898</v>
      </c>
      <c r="AY47" s="174">
        <f t="shared" si="46"/>
        <v>9.777856102250931</v>
      </c>
      <c r="AZ47" s="215">
        <f t="shared" si="46"/>
        <v>0.8823029107060696</v>
      </c>
    </row>
    <row r="48" spans="1:52" ht="12">
      <c r="A48" s="169">
        <v>6</v>
      </c>
      <c r="B48" s="428">
        <v>2026</v>
      </c>
      <c r="C48" s="214">
        <f t="shared" si="25"/>
        <v>330000</v>
      </c>
      <c r="D48" s="174">
        <f t="shared" si="18"/>
        <v>3.3419152510206342</v>
      </c>
      <c r="E48" s="174">
        <f t="shared" si="18"/>
        <v>0.1654413490604274</v>
      </c>
      <c r="F48" s="174">
        <f t="shared" si="18"/>
        <v>0.8708396285708212</v>
      </c>
      <c r="G48" s="174">
        <f t="shared" si="18"/>
        <v>0.0781755825230591</v>
      </c>
      <c r="H48" s="421">
        <f t="shared" si="19"/>
        <v>103000</v>
      </c>
      <c r="I48" s="174">
        <f aca="true" t="shared" si="47" ref="I48:AD48">I11</f>
        <v>1.2476984169943421</v>
      </c>
      <c r="J48" s="174">
        <f t="shared" si="47"/>
        <v>0.061874034327744895</v>
      </c>
      <c r="K48" s="174">
        <f t="shared" si="47"/>
        <v>0.352965821513686</v>
      </c>
      <c r="L48" s="174">
        <f t="shared" si="47"/>
        <v>0.027020220495418867</v>
      </c>
      <c r="M48" s="174">
        <f t="shared" si="47"/>
        <v>2.094216834026292</v>
      </c>
      <c r="N48" s="174">
        <f t="shared" si="47"/>
        <v>0.1035673147326825</v>
      </c>
      <c r="O48" s="174">
        <f t="shared" si="47"/>
        <v>0.5178738070571351</v>
      </c>
      <c r="P48" s="215">
        <f t="shared" si="47"/>
        <v>0.05115536202764023</v>
      </c>
      <c r="Q48" s="499">
        <f t="shared" si="47"/>
        <v>53</v>
      </c>
      <c r="R48" s="174">
        <f t="shared" si="47"/>
        <v>0.0005369610388178817</v>
      </c>
      <c r="S48" s="174">
        <f t="shared" si="47"/>
        <v>2.6582229644449592E-05</v>
      </c>
      <c r="T48" s="174">
        <f t="shared" si="47"/>
        <v>0.00013992184615045444</v>
      </c>
      <c r="U48" s="174">
        <f t="shared" si="47"/>
        <v>1.2560833788036618E-05</v>
      </c>
      <c r="V48" s="501">
        <f t="shared" si="47"/>
        <v>25</v>
      </c>
      <c r="W48" s="174">
        <f t="shared" si="47"/>
        <v>0.00030285994587653014</v>
      </c>
      <c r="X48" s="174">
        <f t="shared" si="47"/>
        <v>1.5018987306888894E-05</v>
      </c>
      <c r="Y48" s="174">
        <f t="shared" si="47"/>
        <v>8.567712208645424E-05</v>
      </c>
      <c r="Z48" s="174">
        <f t="shared" si="47"/>
        <v>6.5587504202560665E-06</v>
      </c>
      <c r="AA48" s="174">
        <f t="shared" si="47"/>
        <v>0.00023410109294135157</v>
      </c>
      <c r="AB48" s="174">
        <f t="shared" si="47"/>
        <v>1.1563242337560698E-05</v>
      </c>
      <c r="AC48" s="174">
        <f t="shared" si="47"/>
        <v>5.4244724064000195E-05</v>
      </c>
      <c r="AD48" s="425">
        <f t="shared" si="47"/>
        <v>6.002083367780552E-06</v>
      </c>
      <c r="AE48" s="214">
        <f t="shared" si="21"/>
        <v>3508000</v>
      </c>
      <c r="AF48" s="174">
        <f aca="true" t="shared" si="48" ref="AF48:AO48">AF11</f>
        <v>35.53569883585274</v>
      </c>
      <c r="AG48" s="174">
        <f t="shared" si="48"/>
        <v>1.759193011675878</v>
      </c>
      <c r="AH48" s="174">
        <f t="shared" si="48"/>
        <v>9.259928050469732</v>
      </c>
      <c r="AI48" s="174">
        <f t="shared" si="48"/>
        <v>0.8312670274951951</v>
      </c>
      <c r="AJ48" s="421">
        <f t="shared" si="48"/>
        <v>0</v>
      </c>
      <c r="AK48" s="174">
        <f t="shared" si="48"/>
        <v>0</v>
      </c>
      <c r="AL48" s="174">
        <f t="shared" si="48"/>
        <v>0</v>
      </c>
      <c r="AM48" s="174">
        <f t="shared" si="48"/>
        <v>0</v>
      </c>
      <c r="AN48" s="174">
        <f t="shared" si="48"/>
        <v>0</v>
      </c>
      <c r="AO48" s="174">
        <f t="shared" si="48"/>
        <v>9.346009063023903</v>
      </c>
      <c r="AP48" s="174">
        <f t="shared" si="23"/>
        <v>7000</v>
      </c>
      <c r="AQ48" s="174">
        <f aca="true" t="shared" si="49" ref="AQ48:AZ48">AQ11</f>
        <v>0.005046433835911781</v>
      </c>
      <c r="AR48" s="174">
        <f t="shared" si="49"/>
        <v>0.0001254809001335242</v>
      </c>
      <c r="AS48" s="174">
        <f t="shared" si="49"/>
        <v>35.53065240201683</v>
      </c>
      <c r="AT48" s="174">
        <f t="shared" si="49"/>
        <v>1.759193011675878</v>
      </c>
      <c r="AU48" s="174">
        <f t="shared" si="49"/>
        <v>9.259928050469732</v>
      </c>
      <c r="AV48" s="215">
        <f t="shared" si="49"/>
        <v>0.8311415465950616</v>
      </c>
      <c r="AW48" s="174">
        <f t="shared" si="49"/>
        <v>37.62510333713606</v>
      </c>
      <c r="AX48" s="174">
        <f t="shared" si="49"/>
        <v>1.862771889650898</v>
      </c>
      <c r="AY48" s="174">
        <f t="shared" si="49"/>
        <v>9.777856102250931</v>
      </c>
      <c r="AZ48" s="215">
        <f t="shared" si="49"/>
        <v>0.8823029107060696</v>
      </c>
    </row>
    <row r="49" spans="1:52" ht="12">
      <c r="A49" s="169">
        <v>7</v>
      </c>
      <c r="B49" s="428">
        <v>2027</v>
      </c>
      <c r="C49" s="214">
        <f t="shared" si="25"/>
        <v>330000</v>
      </c>
      <c r="D49" s="174">
        <f t="shared" si="18"/>
        <v>3.3419152510206342</v>
      </c>
      <c r="E49" s="174">
        <f t="shared" si="18"/>
        <v>0.1654413490604274</v>
      </c>
      <c r="F49" s="174">
        <f t="shared" si="18"/>
        <v>0.8708396285708212</v>
      </c>
      <c r="G49" s="174">
        <f t="shared" si="18"/>
        <v>0.0781755825230591</v>
      </c>
      <c r="H49" s="421">
        <f t="shared" si="19"/>
        <v>103000</v>
      </c>
      <c r="I49" s="174">
        <f aca="true" t="shared" si="50" ref="I49:AD49">I12</f>
        <v>1.2476984169943421</v>
      </c>
      <c r="J49" s="174">
        <f t="shared" si="50"/>
        <v>0.061874034327744895</v>
      </c>
      <c r="K49" s="174">
        <f t="shared" si="50"/>
        <v>0.352965821513686</v>
      </c>
      <c r="L49" s="174">
        <f t="shared" si="50"/>
        <v>0.027020220495418867</v>
      </c>
      <c r="M49" s="174">
        <f t="shared" si="50"/>
        <v>2.094216834026292</v>
      </c>
      <c r="N49" s="174">
        <f t="shared" si="50"/>
        <v>0.1035673147326825</v>
      </c>
      <c r="O49" s="174">
        <f t="shared" si="50"/>
        <v>0.5178738070571351</v>
      </c>
      <c r="P49" s="215">
        <f t="shared" si="50"/>
        <v>0.05115536202764023</v>
      </c>
      <c r="Q49" s="499">
        <f t="shared" si="50"/>
        <v>53</v>
      </c>
      <c r="R49" s="174">
        <f t="shared" si="50"/>
        <v>0.0005369610388178817</v>
      </c>
      <c r="S49" s="174">
        <f t="shared" si="50"/>
        <v>2.6582229644449592E-05</v>
      </c>
      <c r="T49" s="174">
        <f t="shared" si="50"/>
        <v>0.00013992184615045444</v>
      </c>
      <c r="U49" s="174">
        <f t="shared" si="50"/>
        <v>1.2560833788036618E-05</v>
      </c>
      <c r="V49" s="501">
        <f t="shared" si="50"/>
        <v>25</v>
      </c>
      <c r="W49" s="174">
        <f t="shared" si="50"/>
        <v>0.00030285994587653014</v>
      </c>
      <c r="X49" s="174">
        <f t="shared" si="50"/>
        <v>1.5018987306888894E-05</v>
      </c>
      <c r="Y49" s="174">
        <f t="shared" si="50"/>
        <v>8.567712208645424E-05</v>
      </c>
      <c r="Z49" s="174">
        <f t="shared" si="50"/>
        <v>6.5587504202560665E-06</v>
      </c>
      <c r="AA49" s="174">
        <f t="shared" si="50"/>
        <v>0.00023410109294135157</v>
      </c>
      <c r="AB49" s="174">
        <f t="shared" si="50"/>
        <v>1.1563242337560698E-05</v>
      </c>
      <c r="AC49" s="174">
        <f t="shared" si="50"/>
        <v>5.4244724064000195E-05</v>
      </c>
      <c r="AD49" s="425">
        <f t="shared" si="50"/>
        <v>6.002083367780552E-06</v>
      </c>
      <c r="AE49" s="214">
        <f t="shared" si="21"/>
        <v>3508000</v>
      </c>
      <c r="AF49" s="174">
        <f aca="true" t="shared" si="51" ref="AF49:AO49">AF12</f>
        <v>35.53569883585274</v>
      </c>
      <c r="AG49" s="174">
        <f t="shared" si="51"/>
        <v>1.759193011675878</v>
      </c>
      <c r="AH49" s="174">
        <f t="shared" si="51"/>
        <v>9.259928050469732</v>
      </c>
      <c r="AI49" s="174">
        <f t="shared" si="51"/>
        <v>0.8312670274951951</v>
      </c>
      <c r="AJ49" s="421">
        <f t="shared" si="51"/>
        <v>0</v>
      </c>
      <c r="AK49" s="174">
        <f t="shared" si="51"/>
        <v>0</v>
      </c>
      <c r="AL49" s="174">
        <f t="shared" si="51"/>
        <v>0</v>
      </c>
      <c r="AM49" s="174">
        <f t="shared" si="51"/>
        <v>0</v>
      </c>
      <c r="AN49" s="174">
        <f t="shared" si="51"/>
        <v>0</v>
      </c>
      <c r="AO49" s="174">
        <f t="shared" si="51"/>
        <v>9.346009063023903</v>
      </c>
      <c r="AP49" s="174">
        <f t="shared" si="23"/>
        <v>7000</v>
      </c>
      <c r="AQ49" s="174">
        <f aca="true" t="shared" si="52" ref="AQ49:AZ49">AQ12</f>
        <v>0.005046433835911781</v>
      </c>
      <c r="AR49" s="174">
        <f t="shared" si="52"/>
        <v>0.0001254809001335242</v>
      </c>
      <c r="AS49" s="174">
        <f t="shared" si="52"/>
        <v>35.53065240201683</v>
      </c>
      <c r="AT49" s="174">
        <f t="shared" si="52"/>
        <v>1.759193011675878</v>
      </c>
      <c r="AU49" s="174">
        <f t="shared" si="52"/>
        <v>9.259928050469732</v>
      </c>
      <c r="AV49" s="215">
        <f t="shared" si="52"/>
        <v>0.8311415465950616</v>
      </c>
      <c r="AW49" s="174">
        <f t="shared" si="52"/>
        <v>37.62510333713606</v>
      </c>
      <c r="AX49" s="174">
        <f t="shared" si="52"/>
        <v>1.862771889650898</v>
      </c>
      <c r="AY49" s="174">
        <f t="shared" si="52"/>
        <v>9.777856102250931</v>
      </c>
      <c r="AZ49" s="215">
        <f t="shared" si="52"/>
        <v>0.8823029107060696</v>
      </c>
    </row>
    <row r="50" spans="1:52" ht="12">
      <c r="A50" s="169">
        <v>8</v>
      </c>
      <c r="B50" s="428">
        <v>2028</v>
      </c>
      <c r="C50" s="214">
        <f t="shared" si="25"/>
        <v>330000</v>
      </c>
      <c r="D50" s="174">
        <f t="shared" si="18"/>
        <v>3.3419152510206342</v>
      </c>
      <c r="E50" s="174">
        <f t="shared" si="18"/>
        <v>0.1654413490604274</v>
      </c>
      <c r="F50" s="174">
        <f t="shared" si="18"/>
        <v>0.8708396285708212</v>
      </c>
      <c r="G50" s="174">
        <f t="shared" si="18"/>
        <v>0.0781755825230591</v>
      </c>
      <c r="H50" s="421">
        <f t="shared" si="19"/>
        <v>103000</v>
      </c>
      <c r="I50" s="174">
        <f aca="true" t="shared" si="53" ref="I50:AD50">I13</f>
        <v>1.2476984169943421</v>
      </c>
      <c r="J50" s="174">
        <f t="shared" si="53"/>
        <v>0.061874034327744895</v>
      </c>
      <c r="K50" s="174">
        <f t="shared" si="53"/>
        <v>0.352965821513686</v>
      </c>
      <c r="L50" s="174">
        <f t="shared" si="53"/>
        <v>0.027020220495418867</v>
      </c>
      <c r="M50" s="174">
        <f t="shared" si="53"/>
        <v>2.094216834026292</v>
      </c>
      <c r="N50" s="174">
        <f t="shared" si="53"/>
        <v>0.1035673147326825</v>
      </c>
      <c r="O50" s="174">
        <f t="shared" si="53"/>
        <v>0.5178738070571351</v>
      </c>
      <c r="P50" s="215">
        <f t="shared" si="53"/>
        <v>0.05115536202764023</v>
      </c>
      <c r="Q50" s="499">
        <f t="shared" si="53"/>
        <v>53</v>
      </c>
      <c r="R50" s="174">
        <f t="shared" si="53"/>
        <v>0.0005369610388178817</v>
      </c>
      <c r="S50" s="174">
        <f t="shared" si="53"/>
        <v>2.6582229644449592E-05</v>
      </c>
      <c r="T50" s="174">
        <f t="shared" si="53"/>
        <v>0.00013992184615045444</v>
      </c>
      <c r="U50" s="174">
        <f t="shared" si="53"/>
        <v>1.2560833788036618E-05</v>
      </c>
      <c r="V50" s="501">
        <f t="shared" si="53"/>
        <v>25</v>
      </c>
      <c r="W50" s="174">
        <f t="shared" si="53"/>
        <v>0.00030285994587653014</v>
      </c>
      <c r="X50" s="174">
        <f t="shared" si="53"/>
        <v>1.5018987306888894E-05</v>
      </c>
      <c r="Y50" s="174">
        <f t="shared" si="53"/>
        <v>8.567712208645424E-05</v>
      </c>
      <c r="Z50" s="174">
        <f t="shared" si="53"/>
        <v>6.5587504202560665E-06</v>
      </c>
      <c r="AA50" s="174">
        <f t="shared" si="53"/>
        <v>0.00023410109294135157</v>
      </c>
      <c r="AB50" s="174">
        <f t="shared" si="53"/>
        <v>1.1563242337560698E-05</v>
      </c>
      <c r="AC50" s="174">
        <f t="shared" si="53"/>
        <v>5.4244724064000195E-05</v>
      </c>
      <c r="AD50" s="425">
        <f t="shared" si="53"/>
        <v>6.002083367780552E-06</v>
      </c>
      <c r="AE50" s="214">
        <f t="shared" si="21"/>
        <v>3508000</v>
      </c>
      <c r="AF50" s="174">
        <f aca="true" t="shared" si="54" ref="AF50:AO50">AF13</f>
        <v>35.53569883585274</v>
      </c>
      <c r="AG50" s="174">
        <f t="shared" si="54"/>
        <v>1.759193011675878</v>
      </c>
      <c r="AH50" s="174">
        <f t="shared" si="54"/>
        <v>9.259928050469732</v>
      </c>
      <c r="AI50" s="174">
        <f t="shared" si="54"/>
        <v>0.8312670274951951</v>
      </c>
      <c r="AJ50" s="421">
        <f t="shared" si="54"/>
        <v>0</v>
      </c>
      <c r="AK50" s="174">
        <f t="shared" si="54"/>
        <v>0</v>
      </c>
      <c r="AL50" s="174">
        <f t="shared" si="54"/>
        <v>0</v>
      </c>
      <c r="AM50" s="174">
        <f t="shared" si="54"/>
        <v>0</v>
      </c>
      <c r="AN50" s="174">
        <f t="shared" si="54"/>
        <v>0</v>
      </c>
      <c r="AO50" s="174">
        <f t="shared" si="54"/>
        <v>9.346009063023903</v>
      </c>
      <c r="AP50" s="174">
        <f t="shared" si="23"/>
        <v>7000</v>
      </c>
      <c r="AQ50" s="174">
        <f aca="true" t="shared" si="55" ref="AQ50:AZ50">AQ13</f>
        <v>0.005046433835911781</v>
      </c>
      <c r="AR50" s="174">
        <f t="shared" si="55"/>
        <v>0.0001254809001335242</v>
      </c>
      <c r="AS50" s="174">
        <f t="shared" si="55"/>
        <v>35.53065240201683</v>
      </c>
      <c r="AT50" s="174">
        <f t="shared" si="55"/>
        <v>1.759193011675878</v>
      </c>
      <c r="AU50" s="174">
        <f t="shared" si="55"/>
        <v>9.259928050469732</v>
      </c>
      <c r="AV50" s="215">
        <f t="shared" si="55"/>
        <v>0.8311415465950616</v>
      </c>
      <c r="AW50" s="174">
        <f t="shared" si="55"/>
        <v>37.62510333713606</v>
      </c>
      <c r="AX50" s="174">
        <f t="shared" si="55"/>
        <v>1.862771889650898</v>
      </c>
      <c r="AY50" s="174">
        <f t="shared" si="55"/>
        <v>9.777856102250931</v>
      </c>
      <c r="AZ50" s="215">
        <f t="shared" si="55"/>
        <v>0.8823029107060696</v>
      </c>
    </row>
    <row r="51" spans="1:52" ht="12">
      <c r="A51" s="169">
        <v>9</v>
      </c>
      <c r="B51" s="428">
        <v>2029</v>
      </c>
      <c r="C51" s="214">
        <f t="shared" si="25"/>
        <v>330000</v>
      </c>
      <c r="D51" s="174">
        <f t="shared" si="18"/>
        <v>3.3419152510206342</v>
      </c>
      <c r="E51" s="174">
        <f t="shared" si="18"/>
        <v>0.1654413490604274</v>
      </c>
      <c r="F51" s="174">
        <f t="shared" si="18"/>
        <v>0.8708396285708212</v>
      </c>
      <c r="G51" s="174">
        <f t="shared" si="18"/>
        <v>0.0781755825230591</v>
      </c>
      <c r="H51" s="421">
        <f t="shared" si="19"/>
        <v>103000</v>
      </c>
      <c r="I51" s="174">
        <f aca="true" t="shared" si="56" ref="I51:AD51">I14</f>
        <v>1.2476984169943421</v>
      </c>
      <c r="J51" s="174">
        <f t="shared" si="56"/>
        <v>0.061874034327744895</v>
      </c>
      <c r="K51" s="174">
        <f t="shared" si="56"/>
        <v>0.352965821513686</v>
      </c>
      <c r="L51" s="174">
        <f t="shared" si="56"/>
        <v>0.027020220495418867</v>
      </c>
      <c r="M51" s="174">
        <f t="shared" si="56"/>
        <v>2.094216834026292</v>
      </c>
      <c r="N51" s="174">
        <f t="shared" si="56"/>
        <v>0.1035673147326825</v>
      </c>
      <c r="O51" s="174">
        <f t="shared" si="56"/>
        <v>0.5178738070571351</v>
      </c>
      <c r="P51" s="215">
        <f t="shared" si="56"/>
        <v>0.05115536202764023</v>
      </c>
      <c r="Q51" s="499">
        <f t="shared" si="56"/>
        <v>53</v>
      </c>
      <c r="R51" s="174">
        <f t="shared" si="56"/>
        <v>0.0005369610388178817</v>
      </c>
      <c r="S51" s="174">
        <f t="shared" si="56"/>
        <v>2.6582229644449592E-05</v>
      </c>
      <c r="T51" s="174">
        <f t="shared" si="56"/>
        <v>0.00013992184615045444</v>
      </c>
      <c r="U51" s="174">
        <f t="shared" si="56"/>
        <v>1.2560833788036618E-05</v>
      </c>
      <c r="V51" s="501">
        <f t="shared" si="56"/>
        <v>25</v>
      </c>
      <c r="W51" s="174">
        <f t="shared" si="56"/>
        <v>0.00030285994587653014</v>
      </c>
      <c r="X51" s="174">
        <f t="shared" si="56"/>
        <v>1.5018987306888894E-05</v>
      </c>
      <c r="Y51" s="174">
        <f t="shared" si="56"/>
        <v>8.567712208645424E-05</v>
      </c>
      <c r="Z51" s="174">
        <f t="shared" si="56"/>
        <v>6.5587504202560665E-06</v>
      </c>
      <c r="AA51" s="174">
        <f t="shared" si="56"/>
        <v>0.00023410109294135157</v>
      </c>
      <c r="AB51" s="174">
        <f t="shared" si="56"/>
        <v>1.1563242337560698E-05</v>
      </c>
      <c r="AC51" s="174">
        <f t="shared" si="56"/>
        <v>5.4244724064000195E-05</v>
      </c>
      <c r="AD51" s="425">
        <f t="shared" si="56"/>
        <v>6.002083367780552E-06</v>
      </c>
      <c r="AE51" s="214">
        <f t="shared" si="21"/>
        <v>3508000</v>
      </c>
      <c r="AF51" s="174">
        <f aca="true" t="shared" si="57" ref="AF51:AO51">AF14</f>
        <v>35.53569883585274</v>
      </c>
      <c r="AG51" s="174">
        <f t="shared" si="57"/>
        <v>1.759193011675878</v>
      </c>
      <c r="AH51" s="174">
        <f t="shared" si="57"/>
        <v>9.259928050469732</v>
      </c>
      <c r="AI51" s="174">
        <f t="shared" si="57"/>
        <v>0.8312670274951951</v>
      </c>
      <c r="AJ51" s="421">
        <f t="shared" si="57"/>
        <v>0</v>
      </c>
      <c r="AK51" s="174">
        <f t="shared" si="57"/>
        <v>0</v>
      </c>
      <c r="AL51" s="174">
        <f t="shared" si="57"/>
        <v>0</v>
      </c>
      <c r="AM51" s="174">
        <f t="shared" si="57"/>
        <v>0</v>
      </c>
      <c r="AN51" s="174">
        <f t="shared" si="57"/>
        <v>0</v>
      </c>
      <c r="AO51" s="174">
        <f t="shared" si="57"/>
        <v>9.346009063023903</v>
      </c>
      <c r="AP51" s="174">
        <f t="shared" si="23"/>
        <v>7000</v>
      </c>
      <c r="AQ51" s="174">
        <f aca="true" t="shared" si="58" ref="AQ51:AZ51">AQ14</f>
        <v>0.005046433835911781</v>
      </c>
      <c r="AR51" s="174">
        <f t="shared" si="58"/>
        <v>0.0001254809001335242</v>
      </c>
      <c r="AS51" s="174">
        <f t="shared" si="58"/>
        <v>35.53065240201683</v>
      </c>
      <c r="AT51" s="174">
        <f t="shared" si="58"/>
        <v>1.759193011675878</v>
      </c>
      <c r="AU51" s="174">
        <f t="shared" si="58"/>
        <v>9.259928050469732</v>
      </c>
      <c r="AV51" s="215">
        <f t="shared" si="58"/>
        <v>0.8311415465950616</v>
      </c>
      <c r="AW51" s="174">
        <f t="shared" si="58"/>
        <v>37.62510333713606</v>
      </c>
      <c r="AX51" s="174">
        <f t="shared" si="58"/>
        <v>1.862771889650898</v>
      </c>
      <c r="AY51" s="174">
        <f t="shared" si="58"/>
        <v>9.777856102250931</v>
      </c>
      <c r="AZ51" s="215">
        <f t="shared" si="58"/>
        <v>0.8823029107060696</v>
      </c>
    </row>
    <row r="52" spans="1:52" ht="12">
      <c r="A52" s="169">
        <v>10</v>
      </c>
      <c r="B52" s="428">
        <v>2030</v>
      </c>
      <c r="C52" s="214">
        <f t="shared" si="25"/>
        <v>330000</v>
      </c>
      <c r="D52" s="174">
        <f t="shared" si="18"/>
        <v>3.3419152510206342</v>
      </c>
      <c r="E52" s="174">
        <f t="shared" si="18"/>
        <v>0.1654413490604274</v>
      </c>
      <c r="F52" s="174">
        <f t="shared" si="18"/>
        <v>0.8708396285708212</v>
      </c>
      <c r="G52" s="174">
        <f t="shared" si="18"/>
        <v>0.0781755825230591</v>
      </c>
      <c r="H52" s="421">
        <f t="shared" si="19"/>
        <v>103000</v>
      </c>
      <c r="I52" s="174">
        <f aca="true" t="shared" si="59" ref="I52:AD52">I15</f>
        <v>1.2476984169943421</v>
      </c>
      <c r="J52" s="174">
        <f t="shared" si="59"/>
        <v>0.061874034327744895</v>
      </c>
      <c r="K52" s="174">
        <f t="shared" si="59"/>
        <v>0.352965821513686</v>
      </c>
      <c r="L52" s="174">
        <f t="shared" si="59"/>
        <v>0.027020220495418867</v>
      </c>
      <c r="M52" s="174">
        <f t="shared" si="59"/>
        <v>2.094216834026292</v>
      </c>
      <c r="N52" s="174">
        <f t="shared" si="59"/>
        <v>0.1035673147326825</v>
      </c>
      <c r="O52" s="174">
        <f t="shared" si="59"/>
        <v>0.5178738070571351</v>
      </c>
      <c r="P52" s="215">
        <f t="shared" si="59"/>
        <v>0.05115536202764023</v>
      </c>
      <c r="Q52" s="499">
        <f t="shared" si="59"/>
        <v>53</v>
      </c>
      <c r="R52" s="174">
        <f t="shared" si="59"/>
        <v>0.0005369610388178817</v>
      </c>
      <c r="S52" s="174">
        <f t="shared" si="59"/>
        <v>2.6582229644449592E-05</v>
      </c>
      <c r="T52" s="174">
        <f t="shared" si="59"/>
        <v>0.00013992184615045444</v>
      </c>
      <c r="U52" s="174">
        <f t="shared" si="59"/>
        <v>1.2560833788036618E-05</v>
      </c>
      <c r="V52" s="501">
        <f t="shared" si="59"/>
        <v>25</v>
      </c>
      <c r="W52" s="174">
        <f t="shared" si="59"/>
        <v>0.00030285994587653014</v>
      </c>
      <c r="X52" s="174">
        <f t="shared" si="59"/>
        <v>1.5018987306888894E-05</v>
      </c>
      <c r="Y52" s="174">
        <f t="shared" si="59"/>
        <v>8.567712208645424E-05</v>
      </c>
      <c r="Z52" s="174">
        <f t="shared" si="59"/>
        <v>6.5587504202560665E-06</v>
      </c>
      <c r="AA52" s="174">
        <f t="shared" si="59"/>
        <v>0.00023410109294135157</v>
      </c>
      <c r="AB52" s="174">
        <f t="shared" si="59"/>
        <v>1.1563242337560698E-05</v>
      </c>
      <c r="AC52" s="174">
        <f t="shared" si="59"/>
        <v>5.4244724064000195E-05</v>
      </c>
      <c r="AD52" s="425">
        <f t="shared" si="59"/>
        <v>6.002083367780552E-06</v>
      </c>
      <c r="AE52" s="214">
        <f t="shared" si="21"/>
        <v>3508000</v>
      </c>
      <c r="AF52" s="174">
        <f aca="true" t="shared" si="60" ref="AF52:AO52">AF15</f>
        <v>35.53569883585274</v>
      </c>
      <c r="AG52" s="174">
        <f t="shared" si="60"/>
        <v>1.759193011675878</v>
      </c>
      <c r="AH52" s="174">
        <f t="shared" si="60"/>
        <v>9.259928050469732</v>
      </c>
      <c r="AI52" s="174">
        <f t="shared" si="60"/>
        <v>0.8312670274951951</v>
      </c>
      <c r="AJ52" s="421">
        <f t="shared" si="60"/>
        <v>0</v>
      </c>
      <c r="AK52" s="174">
        <f t="shared" si="60"/>
        <v>0</v>
      </c>
      <c r="AL52" s="174">
        <f t="shared" si="60"/>
        <v>0</v>
      </c>
      <c r="AM52" s="174">
        <f t="shared" si="60"/>
        <v>0</v>
      </c>
      <c r="AN52" s="174">
        <f t="shared" si="60"/>
        <v>0</v>
      </c>
      <c r="AO52" s="174">
        <f t="shared" si="60"/>
        <v>9.346009063023903</v>
      </c>
      <c r="AP52" s="174">
        <f t="shared" si="23"/>
        <v>7000</v>
      </c>
      <c r="AQ52" s="174">
        <f aca="true" t="shared" si="61" ref="AQ52:AZ52">AQ15</f>
        <v>0.005046433835911781</v>
      </c>
      <c r="AR52" s="174">
        <f t="shared" si="61"/>
        <v>0.0001254809001335242</v>
      </c>
      <c r="AS52" s="174">
        <f t="shared" si="61"/>
        <v>35.53065240201683</v>
      </c>
      <c r="AT52" s="174">
        <f t="shared" si="61"/>
        <v>1.759193011675878</v>
      </c>
      <c r="AU52" s="174">
        <f t="shared" si="61"/>
        <v>9.259928050469732</v>
      </c>
      <c r="AV52" s="215">
        <f t="shared" si="61"/>
        <v>0.8311415465950616</v>
      </c>
      <c r="AW52" s="174">
        <f t="shared" si="61"/>
        <v>37.62510333713606</v>
      </c>
      <c r="AX52" s="174">
        <f t="shared" si="61"/>
        <v>1.862771889650898</v>
      </c>
      <c r="AY52" s="174">
        <f t="shared" si="61"/>
        <v>9.777856102250931</v>
      </c>
      <c r="AZ52" s="215">
        <f t="shared" si="61"/>
        <v>0.8823029107060696</v>
      </c>
    </row>
    <row r="53" spans="1:52" ht="12">
      <c r="A53" s="169">
        <v>11</v>
      </c>
      <c r="B53" s="428">
        <v>2031</v>
      </c>
      <c r="C53" s="214">
        <f t="shared" si="25"/>
        <v>330000</v>
      </c>
      <c r="D53" s="174">
        <f t="shared" si="18"/>
        <v>3.3419152510206342</v>
      </c>
      <c r="E53" s="174">
        <f t="shared" si="18"/>
        <v>0.1654413490604274</v>
      </c>
      <c r="F53" s="174">
        <f t="shared" si="18"/>
        <v>0.8708396285708212</v>
      </c>
      <c r="G53" s="174">
        <f t="shared" si="18"/>
        <v>0.0781755825230591</v>
      </c>
      <c r="H53" s="421">
        <f t="shared" si="19"/>
        <v>103000</v>
      </c>
      <c r="I53" s="174">
        <f aca="true" t="shared" si="62" ref="I53:AD53">I16</f>
        <v>1.2476984169943421</v>
      </c>
      <c r="J53" s="174">
        <f t="shared" si="62"/>
        <v>0.061874034327744895</v>
      </c>
      <c r="K53" s="174">
        <f t="shared" si="62"/>
        <v>0.352965821513686</v>
      </c>
      <c r="L53" s="174">
        <f t="shared" si="62"/>
        <v>0.027020220495418867</v>
      </c>
      <c r="M53" s="174">
        <f t="shared" si="62"/>
        <v>2.094216834026292</v>
      </c>
      <c r="N53" s="174">
        <f t="shared" si="62"/>
        <v>0.1035673147326825</v>
      </c>
      <c r="O53" s="174">
        <f t="shared" si="62"/>
        <v>0.5178738070571351</v>
      </c>
      <c r="P53" s="215">
        <f t="shared" si="62"/>
        <v>0.05115536202764023</v>
      </c>
      <c r="Q53" s="499">
        <f t="shared" si="62"/>
        <v>53</v>
      </c>
      <c r="R53" s="174">
        <f t="shared" si="62"/>
        <v>0.0005369610388178817</v>
      </c>
      <c r="S53" s="174">
        <f t="shared" si="62"/>
        <v>2.6582229644449592E-05</v>
      </c>
      <c r="T53" s="174">
        <f t="shared" si="62"/>
        <v>0.00013992184615045444</v>
      </c>
      <c r="U53" s="174">
        <f t="shared" si="62"/>
        <v>1.2560833788036618E-05</v>
      </c>
      <c r="V53" s="501">
        <f t="shared" si="62"/>
        <v>25</v>
      </c>
      <c r="W53" s="174">
        <f t="shared" si="62"/>
        <v>0.00030285994587653014</v>
      </c>
      <c r="X53" s="174">
        <f t="shared" si="62"/>
        <v>1.5018987306888894E-05</v>
      </c>
      <c r="Y53" s="174">
        <f t="shared" si="62"/>
        <v>8.567712208645424E-05</v>
      </c>
      <c r="Z53" s="174">
        <f t="shared" si="62"/>
        <v>6.5587504202560665E-06</v>
      </c>
      <c r="AA53" s="174">
        <f t="shared" si="62"/>
        <v>0.00023410109294135157</v>
      </c>
      <c r="AB53" s="174">
        <f t="shared" si="62"/>
        <v>1.1563242337560698E-05</v>
      </c>
      <c r="AC53" s="174">
        <f t="shared" si="62"/>
        <v>5.4244724064000195E-05</v>
      </c>
      <c r="AD53" s="425">
        <f t="shared" si="62"/>
        <v>6.002083367780552E-06</v>
      </c>
      <c r="AE53" s="214">
        <f t="shared" si="21"/>
        <v>3508000</v>
      </c>
      <c r="AF53" s="174">
        <f aca="true" t="shared" si="63" ref="AF53:AO53">AF16</f>
        <v>35.53569883585274</v>
      </c>
      <c r="AG53" s="174">
        <f t="shared" si="63"/>
        <v>1.759193011675878</v>
      </c>
      <c r="AH53" s="174">
        <f t="shared" si="63"/>
        <v>9.259928050469732</v>
      </c>
      <c r="AI53" s="174">
        <f t="shared" si="63"/>
        <v>0.8312670274951951</v>
      </c>
      <c r="AJ53" s="421">
        <f t="shared" si="63"/>
        <v>0</v>
      </c>
      <c r="AK53" s="174">
        <f t="shared" si="63"/>
        <v>0</v>
      </c>
      <c r="AL53" s="174">
        <f t="shared" si="63"/>
        <v>0</v>
      </c>
      <c r="AM53" s="174">
        <f t="shared" si="63"/>
        <v>0</v>
      </c>
      <c r="AN53" s="174">
        <f t="shared" si="63"/>
        <v>0</v>
      </c>
      <c r="AO53" s="174">
        <f t="shared" si="63"/>
        <v>9.346009063023903</v>
      </c>
      <c r="AP53" s="174">
        <f t="shared" si="23"/>
        <v>7000</v>
      </c>
      <c r="AQ53" s="174">
        <f aca="true" t="shared" si="64" ref="AQ53:AZ53">AQ16</f>
        <v>0.005046433835911781</v>
      </c>
      <c r="AR53" s="174">
        <f t="shared" si="64"/>
        <v>0.0001254809001335242</v>
      </c>
      <c r="AS53" s="174">
        <f t="shared" si="64"/>
        <v>35.53065240201683</v>
      </c>
      <c r="AT53" s="174">
        <f t="shared" si="64"/>
        <v>1.759193011675878</v>
      </c>
      <c r="AU53" s="174">
        <f t="shared" si="64"/>
        <v>9.259928050469732</v>
      </c>
      <c r="AV53" s="215">
        <f t="shared" si="64"/>
        <v>0.8311415465950616</v>
      </c>
      <c r="AW53" s="174">
        <f t="shared" si="64"/>
        <v>37.62510333713606</v>
      </c>
      <c r="AX53" s="174">
        <f t="shared" si="64"/>
        <v>1.862771889650898</v>
      </c>
      <c r="AY53" s="174">
        <f t="shared" si="64"/>
        <v>9.777856102250931</v>
      </c>
      <c r="AZ53" s="215">
        <f t="shared" si="64"/>
        <v>0.8823029107060696</v>
      </c>
    </row>
    <row r="54" spans="1:52" ht="12">
      <c r="A54" s="169">
        <v>12</v>
      </c>
      <c r="B54" s="428">
        <v>2032</v>
      </c>
      <c r="C54" s="214">
        <f t="shared" si="25"/>
        <v>330000</v>
      </c>
      <c r="D54" s="174">
        <f t="shared" si="18"/>
        <v>3.3419152510206342</v>
      </c>
      <c r="E54" s="174">
        <f t="shared" si="18"/>
        <v>0.1654413490604274</v>
      </c>
      <c r="F54" s="174">
        <f t="shared" si="18"/>
        <v>0.8708396285708212</v>
      </c>
      <c r="G54" s="174">
        <f t="shared" si="18"/>
        <v>0.0781755825230591</v>
      </c>
      <c r="H54" s="421">
        <f t="shared" si="19"/>
        <v>103000</v>
      </c>
      <c r="I54" s="174">
        <f aca="true" t="shared" si="65" ref="I54:AD54">I17</f>
        <v>1.2476984169943421</v>
      </c>
      <c r="J54" s="174">
        <f t="shared" si="65"/>
        <v>0.061874034327744895</v>
      </c>
      <c r="K54" s="174">
        <f t="shared" si="65"/>
        <v>0.352965821513686</v>
      </c>
      <c r="L54" s="174">
        <f t="shared" si="65"/>
        <v>0.027020220495418867</v>
      </c>
      <c r="M54" s="174">
        <f t="shared" si="65"/>
        <v>2.094216834026292</v>
      </c>
      <c r="N54" s="174">
        <f t="shared" si="65"/>
        <v>0.1035673147326825</v>
      </c>
      <c r="O54" s="174">
        <f t="shared" si="65"/>
        <v>0.5178738070571351</v>
      </c>
      <c r="P54" s="215">
        <f t="shared" si="65"/>
        <v>0.05115536202764023</v>
      </c>
      <c r="Q54" s="499">
        <f t="shared" si="65"/>
        <v>53</v>
      </c>
      <c r="R54" s="174">
        <f t="shared" si="65"/>
        <v>0.0005369610388178817</v>
      </c>
      <c r="S54" s="174">
        <f t="shared" si="65"/>
        <v>2.6582229644449592E-05</v>
      </c>
      <c r="T54" s="174">
        <f t="shared" si="65"/>
        <v>0.00013992184615045444</v>
      </c>
      <c r="U54" s="174">
        <f t="shared" si="65"/>
        <v>1.2560833788036618E-05</v>
      </c>
      <c r="V54" s="501">
        <f t="shared" si="65"/>
        <v>25</v>
      </c>
      <c r="W54" s="174">
        <f t="shared" si="65"/>
        <v>0.00030285994587653014</v>
      </c>
      <c r="X54" s="174">
        <f t="shared" si="65"/>
        <v>1.5018987306888894E-05</v>
      </c>
      <c r="Y54" s="174">
        <f t="shared" si="65"/>
        <v>8.567712208645424E-05</v>
      </c>
      <c r="Z54" s="174">
        <f t="shared" si="65"/>
        <v>6.5587504202560665E-06</v>
      </c>
      <c r="AA54" s="174">
        <f t="shared" si="65"/>
        <v>0.00023410109294135157</v>
      </c>
      <c r="AB54" s="174">
        <f t="shared" si="65"/>
        <v>1.1563242337560698E-05</v>
      </c>
      <c r="AC54" s="174">
        <f t="shared" si="65"/>
        <v>5.4244724064000195E-05</v>
      </c>
      <c r="AD54" s="425">
        <f t="shared" si="65"/>
        <v>6.002083367780552E-06</v>
      </c>
      <c r="AE54" s="214">
        <f t="shared" si="21"/>
        <v>3508000</v>
      </c>
      <c r="AF54" s="174">
        <f aca="true" t="shared" si="66" ref="AF54:AO54">AF17</f>
        <v>35.53569883585274</v>
      </c>
      <c r="AG54" s="174">
        <f t="shared" si="66"/>
        <v>1.759193011675878</v>
      </c>
      <c r="AH54" s="174">
        <f t="shared" si="66"/>
        <v>9.259928050469732</v>
      </c>
      <c r="AI54" s="174">
        <f t="shared" si="66"/>
        <v>0.8312670274951951</v>
      </c>
      <c r="AJ54" s="421">
        <f t="shared" si="66"/>
        <v>0</v>
      </c>
      <c r="AK54" s="174">
        <f t="shared" si="66"/>
        <v>0</v>
      </c>
      <c r="AL54" s="174">
        <f t="shared" si="66"/>
        <v>0</v>
      </c>
      <c r="AM54" s="174">
        <f t="shared" si="66"/>
        <v>0</v>
      </c>
      <c r="AN54" s="174">
        <f t="shared" si="66"/>
        <v>0</v>
      </c>
      <c r="AO54" s="174">
        <f t="shared" si="66"/>
        <v>9.346009063023903</v>
      </c>
      <c r="AP54" s="174">
        <f t="shared" si="23"/>
        <v>7000</v>
      </c>
      <c r="AQ54" s="174">
        <f aca="true" t="shared" si="67" ref="AQ54:AZ54">AQ17</f>
        <v>0.005046433835911781</v>
      </c>
      <c r="AR54" s="174">
        <f t="shared" si="67"/>
        <v>0.0001254809001335242</v>
      </c>
      <c r="AS54" s="174">
        <f t="shared" si="67"/>
        <v>35.53065240201683</v>
      </c>
      <c r="AT54" s="174">
        <f t="shared" si="67"/>
        <v>1.759193011675878</v>
      </c>
      <c r="AU54" s="174">
        <f t="shared" si="67"/>
        <v>9.259928050469732</v>
      </c>
      <c r="AV54" s="215">
        <f t="shared" si="67"/>
        <v>0.8311415465950616</v>
      </c>
      <c r="AW54" s="174">
        <f t="shared" si="67"/>
        <v>37.62510333713606</v>
      </c>
      <c r="AX54" s="174">
        <f t="shared" si="67"/>
        <v>1.862771889650898</v>
      </c>
      <c r="AY54" s="174">
        <f t="shared" si="67"/>
        <v>9.777856102250931</v>
      </c>
      <c r="AZ54" s="215">
        <f t="shared" si="67"/>
        <v>0.8823029107060696</v>
      </c>
    </row>
    <row r="55" spans="1:52" ht="12">
      <c r="A55" s="169">
        <v>13</v>
      </c>
      <c r="B55" s="428">
        <v>2033</v>
      </c>
      <c r="C55" s="214">
        <f t="shared" si="25"/>
        <v>330000</v>
      </c>
      <c r="D55" s="174">
        <f t="shared" si="18"/>
        <v>3.3419152510206342</v>
      </c>
      <c r="E55" s="174">
        <f t="shared" si="18"/>
        <v>0.1654413490604274</v>
      </c>
      <c r="F55" s="174">
        <f t="shared" si="18"/>
        <v>0.8708396285708212</v>
      </c>
      <c r="G55" s="174">
        <f t="shared" si="18"/>
        <v>0.0781755825230591</v>
      </c>
      <c r="H55" s="421">
        <f t="shared" si="19"/>
        <v>103000</v>
      </c>
      <c r="I55" s="174">
        <f aca="true" t="shared" si="68" ref="I55:AD55">I18</f>
        <v>1.2476984169943421</v>
      </c>
      <c r="J55" s="174">
        <f t="shared" si="68"/>
        <v>0.061874034327744895</v>
      </c>
      <c r="K55" s="174">
        <f t="shared" si="68"/>
        <v>0.352965821513686</v>
      </c>
      <c r="L55" s="174">
        <f t="shared" si="68"/>
        <v>0.027020220495418867</v>
      </c>
      <c r="M55" s="174">
        <f t="shared" si="68"/>
        <v>2.094216834026292</v>
      </c>
      <c r="N55" s="174">
        <f t="shared" si="68"/>
        <v>0.1035673147326825</v>
      </c>
      <c r="O55" s="174">
        <f t="shared" si="68"/>
        <v>0.5178738070571351</v>
      </c>
      <c r="P55" s="215">
        <f t="shared" si="68"/>
        <v>0.05115536202764023</v>
      </c>
      <c r="Q55" s="499">
        <f t="shared" si="68"/>
        <v>53</v>
      </c>
      <c r="R55" s="174">
        <f t="shared" si="68"/>
        <v>0.0005369610388178817</v>
      </c>
      <c r="S55" s="174">
        <f t="shared" si="68"/>
        <v>2.6582229644449592E-05</v>
      </c>
      <c r="T55" s="174">
        <f t="shared" si="68"/>
        <v>0.00013992184615045444</v>
      </c>
      <c r="U55" s="174">
        <f t="shared" si="68"/>
        <v>1.2560833788036618E-05</v>
      </c>
      <c r="V55" s="501">
        <f t="shared" si="68"/>
        <v>25</v>
      </c>
      <c r="W55" s="174">
        <f t="shared" si="68"/>
        <v>0.00030285994587653014</v>
      </c>
      <c r="X55" s="174">
        <f t="shared" si="68"/>
        <v>1.5018987306888894E-05</v>
      </c>
      <c r="Y55" s="174">
        <f t="shared" si="68"/>
        <v>8.567712208645424E-05</v>
      </c>
      <c r="Z55" s="174">
        <f t="shared" si="68"/>
        <v>6.5587504202560665E-06</v>
      </c>
      <c r="AA55" s="174">
        <f t="shared" si="68"/>
        <v>0.00023410109294135157</v>
      </c>
      <c r="AB55" s="174">
        <f t="shared" si="68"/>
        <v>1.1563242337560698E-05</v>
      </c>
      <c r="AC55" s="174">
        <f t="shared" si="68"/>
        <v>5.4244724064000195E-05</v>
      </c>
      <c r="AD55" s="425">
        <f t="shared" si="68"/>
        <v>6.002083367780552E-06</v>
      </c>
      <c r="AE55" s="214">
        <f t="shared" si="21"/>
        <v>3508000</v>
      </c>
      <c r="AF55" s="174">
        <f aca="true" t="shared" si="69" ref="AF55:AO55">AF18</f>
        <v>35.53569883585274</v>
      </c>
      <c r="AG55" s="174">
        <f t="shared" si="69"/>
        <v>1.759193011675878</v>
      </c>
      <c r="AH55" s="174">
        <f t="shared" si="69"/>
        <v>9.259928050469732</v>
      </c>
      <c r="AI55" s="174">
        <f t="shared" si="69"/>
        <v>0.8312670274951951</v>
      </c>
      <c r="AJ55" s="421">
        <f t="shared" si="69"/>
        <v>0</v>
      </c>
      <c r="AK55" s="174">
        <f t="shared" si="69"/>
        <v>0</v>
      </c>
      <c r="AL55" s="174">
        <f t="shared" si="69"/>
        <v>0</v>
      </c>
      <c r="AM55" s="174">
        <f t="shared" si="69"/>
        <v>0</v>
      </c>
      <c r="AN55" s="174">
        <f t="shared" si="69"/>
        <v>0</v>
      </c>
      <c r="AO55" s="174">
        <f t="shared" si="69"/>
        <v>9.346009063023903</v>
      </c>
      <c r="AP55" s="174">
        <f t="shared" si="23"/>
        <v>7000</v>
      </c>
      <c r="AQ55" s="174">
        <f aca="true" t="shared" si="70" ref="AQ55:AZ55">AQ18</f>
        <v>0.005046433835911781</v>
      </c>
      <c r="AR55" s="174">
        <f t="shared" si="70"/>
        <v>0.0001254809001335242</v>
      </c>
      <c r="AS55" s="174">
        <f t="shared" si="70"/>
        <v>35.53065240201683</v>
      </c>
      <c r="AT55" s="174">
        <f t="shared" si="70"/>
        <v>1.759193011675878</v>
      </c>
      <c r="AU55" s="174">
        <f t="shared" si="70"/>
        <v>9.259928050469732</v>
      </c>
      <c r="AV55" s="215">
        <f t="shared" si="70"/>
        <v>0.8311415465950616</v>
      </c>
      <c r="AW55" s="174">
        <f t="shared" si="70"/>
        <v>37.62510333713606</v>
      </c>
      <c r="AX55" s="174">
        <f t="shared" si="70"/>
        <v>1.862771889650898</v>
      </c>
      <c r="AY55" s="174">
        <f t="shared" si="70"/>
        <v>9.777856102250931</v>
      </c>
      <c r="AZ55" s="215">
        <f t="shared" si="70"/>
        <v>0.8823029107060696</v>
      </c>
    </row>
    <row r="56" spans="1:52" ht="12">
      <c r="A56" s="169">
        <v>14</v>
      </c>
      <c r="B56" s="428">
        <v>2034</v>
      </c>
      <c r="C56" s="214">
        <f t="shared" si="25"/>
        <v>330000</v>
      </c>
      <c r="D56" s="174">
        <f t="shared" si="18"/>
        <v>3.3419152510206342</v>
      </c>
      <c r="E56" s="174">
        <f t="shared" si="18"/>
        <v>0.1654413490604274</v>
      </c>
      <c r="F56" s="174">
        <f t="shared" si="18"/>
        <v>0.8708396285708212</v>
      </c>
      <c r="G56" s="174">
        <f t="shared" si="18"/>
        <v>0.0781755825230591</v>
      </c>
      <c r="H56" s="421">
        <f t="shared" si="19"/>
        <v>103000</v>
      </c>
      <c r="I56" s="174">
        <f aca="true" t="shared" si="71" ref="I56:AD56">I19</f>
        <v>1.2476984169943421</v>
      </c>
      <c r="J56" s="174">
        <f t="shared" si="71"/>
        <v>0.061874034327744895</v>
      </c>
      <c r="K56" s="174">
        <f t="shared" si="71"/>
        <v>0.352965821513686</v>
      </c>
      <c r="L56" s="174">
        <f t="shared" si="71"/>
        <v>0.027020220495418867</v>
      </c>
      <c r="M56" s="174">
        <f t="shared" si="71"/>
        <v>2.094216834026292</v>
      </c>
      <c r="N56" s="174">
        <f t="shared" si="71"/>
        <v>0.1035673147326825</v>
      </c>
      <c r="O56" s="174">
        <f t="shared" si="71"/>
        <v>0.5178738070571351</v>
      </c>
      <c r="P56" s="215">
        <f t="shared" si="71"/>
        <v>0.05115536202764023</v>
      </c>
      <c r="Q56" s="499">
        <f t="shared" si="71"/>
        <v>53</v>
      </c>
      <c r="R56" s="174">
        <f t="shared" si="71"/>
        <v>0.0005369610388178817</v>
      </c>
      <c r="S56" s="174">
        <f t="shared" si="71"/>
        <v>2.6582229644449592E-05</v>
      </c>
      <c r="T56" s="174">
        <f t="shared" si="71"/>
        <v>0.00013992184615045444</v>
      </c>
      <c r="U56" s="174">
        <f t="shared" si="71"/>
        <v>1.2560833788036618E-05</v>
      </c>
      <c r="V56" s="501">
        <f t="shared" si="71"/>
        <v>25</v>
      </c>
      <c r="W56" s="174">
        <f t="shared" si="71"/>
        <v>0.00030285994587653014</v>
      </c>
      <c r="X56" s="174">
        <f t="shared" si="71"/>
        <v>1.5018987306888894E-05</v>
      </c>
      <c r="Y56" s="174">
        <f t="shared" si="71"/>
        <v>8.567712208645424E-05</v>
      </c>
      <c r="Z56" s="174">
        <f t="shared" si="71"/>
        <v>6.5587504202560665E-06</v>
      </c>
      <c r="AA56" s="174">
        <f t="shared" si="71"/>
        <v>0.00023410109294135157</v>
      </c>
      <c r="AB56" s="174">
        <f t="shared" si="71"/>
        <v>1.1563242337560698E-05</v>
      </c>
      <c r="AC56" s="174">
        <f t="shared" si="71"/>
        <v>5.4244724064000195E-05</v>
      </c>
      <c r="AD56" s="425">
        <f t="shared" si="71"/>
        <v>6.002083367780552E-06</v>
      </c>
      <c r="AE56" s="214">
        <f t="shared" si="21"/>
        <v>3508000</v>
      </c>
      <c r="AF56" s="174">
        <f aca="true" t="shared" si="72" ref="AF56:AO56">AF19</f>
        <v>35.53569883585274</v>
      </c>
      <c r="AG56" s="174">
        <f t="shared" si="72"/>
        <v>1.759193011675878</v>
      </c>
      <c r="AH56" s="174">
        <f t="shared" si="72"/>
        <v>9.259928050469732</v>
      </c>
      <c r="AI56" s="174">
        <f t="shared" si="72"/>
        <v>0.8312670274951951</v>
      </c>
      <c r="AJ56" s="421">
        <f t="shared" si="72"/>
        <v>0</v>
      </c>
      <c r="AK56" s="174">
        <f t="shared" si="72"/>
        <v>0</v>
      </c>
      <c r="AL56" s="174">
        <f t="shared" si="72"/>
        <v>0</v>
      </c>
      <c r="AM56" s="174">
        <f t="shared" si="72"/>
        <v>0</v>
      </c>
      <c r="AN56" s="174">
        <f t="shared" si="72"/>
        <v>0</v>
      </c>
      <c r="AO56" s="174">
        <f t="shared" si="72"/>
        <v>9.346009063023903</v>
      </c>
      <c r="AP56" s="174">
        <f t="shared" si="23"/>
        <v>7000</v>
      </c>
      <c r="AQ56" s="174">
        <f aca="true" t="shared" si="73" ref="AQ56:AZ56">AQ19</f>
        <v>0.005046433835911781</v>
      </c>
      <c r="AR56" s="174">
        <f t="shared" si="73"/>
        <v>0.0001254809001335242</v>
      </c>
      <c r="AS56" s="174">
        <f t="shared" si="73"/>
        <v>35.53065240201683</v>
      </c>
      <c r="AT56" s="174">
        <f t="shared" si="73"/>
        <v>1.759193011675878</v>
      </c>
      <c r="AU56" s="174">
        <f t="shared" si="73"/>
        <v>9.259928050469732</v>
      </c>
      <c r="AV56" s="215">
        <f t="shared" si="73"/>
        <v>0.8311415465950616</v>
      </c>
      <c r="AW56" s="174">
        <f t="shared" si="73"/>
        <v>37.62510333713606</v>
      </c>
      <c r="AX56" s="174">
        <f t="shared" si="73"/>
        <v>1.862771889650898</v>
      </c>
      <c r="AY56" s="174">
        <f t="shared" si="73"/>
        <v>9.777856102250931</v>
      </c>
      <c r="AZ56" s="215">
        <f t="shared" si="73"/>
        <v>0.8823029107060696</v>
      </c>
    </row>
    <row r="57" spans="1:52" ht="12">
      <c r="A57" s="169">
        <v>15</v>
      </c>
      <c r="B57" s="428">
        <v>2035</v>
      </c>
      <c r="C57" s="214">
        <f t="shared" si="25"/>
        <v>330000</v>
      </c>
      <c r="D57" s="174">
        <f t="shared" si="18"/>
        <v>3.3419152510206342</v>
      </c>
      <c r="E57" s="174">
        <f t="shared" si="18"/>
        <v>0.1654413490604274</v>
      </c>
      <c r="F57" s="174">
        <f t="shared" si="18"/>
        <v>0.8708396285708212</v>
      </c>
      <c r="G57" s="174">
        <f t="shared" si="18"/>
        <v>0.0781755825230591</v>
      </c>
      <c r="H57" s="421">
        <f t="shared" si="19"/>
        <v>103000</v>
      </c>
      <c r="I57" s="174">
        <f aca="true" t="shared" si="74" ref="I57:AD57">I20</f>
        <v>1.2476984169943421</v>
      </c>
      <c r="J57" s="174">
        <f t="shared" si="74"/>
        <v>0.061874034327744895</v>
      </c>
      <c r="K57" s="174">
        <f t="shared" si="74"/>
        <v>0.352965821513686</v>
      </c>
      <c r="L57" s="174">
        <f t="shared" si="74"/>
        <v>0.027020220495418867</v>
      </c>
      <c r="M57" s="174">
        <f t="shared" si="74"/>
        <v>2.094216834026292</v>
      </c>
      <c r="N57" s="174">
        <f t="shared" si="74"/>
        <v>0.1035673147326825</v>
      </c>
      <c r="O57" s="174">
        <f t="shared" si="74"/>
        <v>0.5178738070571351</v>
      </c>
      <c r="P57" s="215">
        <f t="shared" si="74"/>
        <v>0.05115536202764023</v>
      </c>
      <c r="Q57" s="499">
        <f t="shared" si="74"/>
        <v>53</v>
      </c>
      <c r="R57" s="174">
        <f t="shared" si="74"/>
        <v>0.0005369610388178817</v>
      </c>
      <c r="S57" s="174">
        <f t="shared" si="74"/>
        <v>2.6582229644449592E-05</v>
      </c>
      <c r="T57" s="174">
        <f t="shared" si="74"/>
        <v>0.00013992184615045444</v>
      </c>
      <c r="U57" s="174">
        <f t="shared" si="74"/>
        <v>1.2560833788036618E-05</v>
      </c>
      <c r="V57" s="501">
        <f t="shared" si="74"/>
        <v>25</v>
      </c>
      <c r="W57" s="174">
        <f t="shared" si="74"/>
        <v>0.00030285994587653014</v>
      </c>
      <c r="X57" s="174">
        <f t="shared" si="74"/>
        <v>1.5018987306888894E-05</v>
      </c>
      <c r="Y57" s="174">
        <f t="shared" si="74"/>
        <v>8.567712208645424E-05</v>
      </c>
      <c r="Z57" s="174">
        <f t="shared" si="74"/>
        <v>6.5587504202560665E-06</v>
      </c>
      <c r="AA57" s="174">
        <f t="shared" si="74"/>
        <v>0.00023410109294135157</v>
      </c>
      <c r="AB57" s="174">
        <f t="shared" si="74"/>
        <v>1.1563242337560698E-05</v>
      </c>
      <c r="AC57" s="174">
        <f t="shared" si="74"/>
        <v>5.4244724064000195E-05</v>
      </c>
      <c r="AD57" s="425">
        <f t="shared" si="74"/>
        <v>6.002083367780552E-06</v>
      </c>
      <c r="AE57" s="214">
        <f t="shared" si="21"/>
        <v>3508000</v>
      </c>
      <c r="AF57" s="174">
        <f aca="true" t="shared" si="75" ref="AF57:AO57">AF20</f>
        <v>35.53569883585274</v>
      </c>
      <c r="AG57" s="174">
        <f t="shared" si="75"/>
        <v>1.759193011675878</v>
      </c>
      <c r="AH57" s="174">
        <f t="shared" si="75"/>
        <v>9.259928050469732</v>
      </c>
      <c r="AI57" s="174">
        <f t="shared" si="75"/>
        <v>0.8312670274951951</v>
      </c>
      <c r="AJ57" s="421">
        <f t="shared" si="75"/>
        <v>0</v>
      </c>
      <c r="AK57" s="174">
        <f t="shared" si="75"/>
        <v>0</v>
      </c>
      <c r="AL57" s="174">
        <f t="shared" si="75"/>
        <v>0</v>
      </c>
      <c r="AM57" s="174">
        <f t="shared" si="75"/>
        <v>0</v>
      </c>
      <c r="AN57" s="174">
        <f t="shared" si="75"/>
        <v>0</v>
      </c>
      <c r="AO57" s="174">
        <f t="shared" si="75"/>
        <v>9.346009063023903</v>
      </c>
      <c r="AP57" s="174">
        <f t="shared" si="23"/>
        <v>7000</v>
      </c>
      <c r="AQ57" s="174">
        <f aca="true" t="shared" si="76" ref="AQ57:AZ57">AQ20</f>
        <v>0.005046433835911781</v>
      </c>
      <c r="AR57" s="174">
        <f t="shared" si="76"/>
        <v>0.0001254809001335242</v>
      </c>
      <c r="AS57" s="174">
        <f t="shared" si="76"/>
        <v>35.53065240201683</v>
      </c>
      <c r="AT57" s="174">
        <f t="shared" si="76"/>
        <v>1.759193011675878</v>
      </c>
      <c r="AU57" s="174">
        <f t="shared" si="76"/>
        <v>9.259928050469732</v>
      </c>
      <c r="AV57" s="215">
        <f t="shared" si="76"/>
        <v>0.8311415465950616</v>
      </c>
      <c r="AW57" s="174">
        <f t="shared" si="76"/>
        <v>37.62510333713606</v>
      </c>
      <c r="AX57" s="174">
        <f t="shared" si="76"/>
        <v>1.862771889650898</v>
      </c>
      <c r="AY57" s="174">
        <f t="shared" si="76"/>
        <v>9.777856102250931</v>
      </c>
      <c r="AZ57" s="215">
        <f t="shared" si="76"/>
        <v>0.8823029107060696</v>
      </c>
    </row>
    <row r="58" spans="1:52" ht="12">
      <c r="A58" s="169">
        <v>16</v>
      </c>
      <c r="B58" s="428">
        <v>2036</v>
      </c>
      <c r="C58" s="214">
        <f t="shared" si="25"/>
        <v>330000</v>
      </c>
      <c r="D58" s="174">
        <f t="shared" si="18"/>
        <v>3.3419152510206342</v>
      </c>
      <c r="E58" s="174">
        <f t="shared" si="18"/>
        <v>0.1654413490604274</v>
      </c>
      <c r="F58" s="174">
        <f t="shared" si="18"/>
        <v>0.8708396285708212</v>
      </c>
      <c r="G58" s="174">
        <f t="shared" si="18"/>
        <v>0.0781755825230591</v>
      </c>
      <c r="H58" s="421">
        <f t="shared" si="19"/>
        <v>103000</v>
      </c>
      <c r="I58" s="174">
        <f aca="true" t="shared" si="77" ref="I58:AD58">I21</f>
        <v>1.2476984169943421</v>
      </c>
      <c r="J58" s="174">
        <f t="shared" si="77"/>
        <v>0.061874034327744895</v>
      </c>
      <c r="K58" s="174">
        <f t="shared" si="77"/>
        <v>0.352965821513686</v>
      </c>
      <c r="L58" s="174">
        <f t="shared" si="77"/>
        <v>0.027020220495418867</v>
      </c>
      <c r="M58" s="174">
        <f t="shared" si="77"/>
        <v>2.094216834026292</v>
      </c>
      <c r="N58" s="174">
        <f t="shared" si="77"/>
        <v>0.1035673147326825</v>
      </c>
      <c r="O58" s="174">
        <f t="shared" si="77"/>
        <v>0.5178738070571351</v>
      </c>
      <c r="P58" s="215">
        <f t="shared" si="77"/>
        <v>0.05115536202764023</v>
      </c>
      <c r="Q58" s="499">
        <f t="shared" si="77"/>
        <v>53</v>
      </c>
      <c r="R58" s="174">
        <f t="shared" si="77"/>
        <v>0.0005369610388178817</v>
      </c>
      <c r="S58" s="174">
        <f t="shared" si="77"/>
        <v>2.6582229644449592E-05</v>
      </c>
      <c r="T58" s="174">
        <f t="shared" si="77"/>
        <v>0.00013992184615045444</v>
      </c>
      <c r="U58" s="174">
        <f t="shared" si="77"/>
        <v>1.2560833788036618E-05</v>
      </c>
      <c r="V58" s="501">
        <f t="shared" si="77"/>
        <v>25</v>
      </c>
      <c r="W58" s="174">
        <f t="shared" si="77"/>
        <v>0.00030285994587653014</v>
      </c>
      <c r="X58" s="174">
        <f t="shared" si="77"/>
        <v>1.5018987306888894E-05</v>
      </c>
      <c r="Y58" s="174">
        <f t="shared" si="77"/>
        <v>8.567712208645424E-05</v>
      </c>
      <c r="Z58" s="174">
        <f t="shared" si="77"/>
        <v>6.5587504202560665E-06</v>
      </c>
      <c r="AA58" s="174">
        <f t="shared" si="77"/>
        <v>0.00023410109294135157</v>
      </c>
      <c r="AB58" s="174">
        <f t="shared" si="77"/>
        <v>1.1563242337560698E-05</v>
      </c>
      <c r="AC58" s="174">
        <f t="shared" si="77"/>
        <v>5.4244724064000195E-05</v>
      </c>
      <c r="AD58" s="425">
        <f t="shared" si="77"/>
        <v>6.002083367780552E-06</v>
      </c>
      <c r="AE58" s="214">
        <f t="shared" si="21"/>
        <v>3508000</v>
      </c>
      <c r="AF58" s="174">
        <f aca="true" t="shared" si="78" ref="AF58:AO58">AF21</f>
        <v>35.53569883585274</v>
      </c>
      <c r="AG58" s="174">
        <f t="shared" si="78"/>
        <v>1.759193011675878</v>
      </c>
      <c r="AH58" s="174">
        <f t="shared" si="78"/>
        <v>9.259928050469732</v>
      </c>
      <c r="AI58" s="174">
        <f t="shared" si="78"/>
        <v>0.8312670274951951</v>
      </c>
      <c r="AJ58" s="421">
        <f t="shared" si="78"/>
        <v>0</v>
      </c>
      <c r="AK58" s="174">
        <f t="shared" si="78"/>
        <v>0</v>
      </c>
      <c r="AL58" s="174">
        <f t="shared" si="78"/>
        <v>0</v>
      </c>
      <c r="AM58" s="174">
        <f t="shared" si="78"/>
        <v>0</v>
      </c>
      <c r="AN58" s="174">
        <f t="shared" si="78"/>
        <v>0</v>
      </c>
      <c r="AO58" s="174">
        <f t="shared" si="78"/>
        <v>9.346009063023903</v>
      </c>
      <c r="AP58" s="174">
        <f t="shared" si="23"/>
        <v>7000</v>
      </c>
      <c r="AQ58" s="174">
        <f aca="true" t="shared" si="79" ref="AQ58:AZ58">AQ21</f>
        <v>0.005046433835911781</v>
      </c>
      <c r="AR58" s="174">
        <f t="shared" si="79"/>
        <v>0.0001254809001335242</v>
      </c>
      <c r="AS58" s="174">
        <f t="shared" si="79"/>
        <v>35.53065240201683</v>
      </c>
      <c r="AT58" s="174">
        <f t="shared" si="79"/>
        <v>1.759193011675878</v>
      </c>
      <c r="AU58" s="174">
        <f t="shared" si="79"/>
        <v>9.259928050469732</v>
      </c>
      <c r="AV58" s="215">
        <f t="shared" si="79"/>
        <v>0.8311415465950616</v>
      </c>
      <c r="AW58" s="174">
        <f t="shared" si="79"/>
        <v>37.62510333713606</v>
      </c>
      <c r="AX58" s="174">
        <f t="shared" si="79"/>
        <v>1.862771889650898</v>
      </c>
      <c r="AY58" s="174">
        <f t="shared" si="79"/>
        <v>9.777856102250931</v>
      </c>
      <c r="AZ58" s="215">
        <f t="shared" si="79"/>
        <v>0.8823029107060696</v>
      </c>
    </row>
    <row r="59" spans="1:52" ht="12">
      <c r="A59" s="169">
        <v>17</v>
      </c>
      <c r="B59" s="428">
        <v>2037</v>
      </c>
      <c r="C59" s="214">
        <f t="shared" si="25"/>
        <v>330000</v>
      </c>
      <c r="D59" s="174">
        <f t="shared" si="18"/>
        <v>3.3419152510206342</v>
      </c>
      <c r="E59" s="174">
        <f t="shared" si="18"/>
        <v>0.1654413490604274</v>
      </c>
      <c r="F59" s="174">
        <f t="shared" si="18"/>
        <v>0.8708396285708212</v>
      </c>
      <c r="G59" s="174">
        <f t="shared" si="18"/>
        <v>0.0781755825230591</v>
      </c>
      <c r="H59" s="421">
        <f t="shared" si="19"/>
        <v>103000</v>
      </c>
      <c r="I59" s="174">
        <f aca="true" t="shared" si="80" ref="I59:AD59">I22</f>
        <v>1.2476984169943421</v>
      </c>
      <c r="J59" s="174">
        <f t="shared" si="80"/>
        <v>0.061874034327744895</v>
      </c>
      <c r="K59" s="174">
        <f t="shared" si="80"/>
        <v>0.352965821513686</v>
      </c>
      <c r="L59" s="174">
        <f t="shared" si="80"/>
        <v>0.027020220495418867</v>
      </c>
      <c r="M59" s="174">
        <f t="shared" si="80"/>
        <v>2.094216834026292</v>
      </c>
      <c r="N59" s="174">
        <f t="shared" si="80"/>
        <v>0.1035673147326825</v>
      </c>
      <c r="O59" s="174">
        <f t="shared" si="80"/>
        <v>0.5178738070571351</v>
      </c>
      <c r="P59" s="215">
        <f t="shared" si="80"/>
        <v>0.05115536202764023</v>
      </c>
      <c r="Q59" s="499">
        <f t="shared" si="80"/>
        <v>53</v>
      </c>
      <c r="R59" s="174">
        <f t="shared" si="80"/>
        <v>0.0005369610388178817</v>
      </c>
      <c r="S59" s="174">
        <f t="shared" si="80"/>
        <v>2.6582229644449592E-05</v>
      </c>
      <c r="T59" s="174">
        <f t="shared" si="80"/>
        <v>0.00013992184615045444</v>
      </c>
      <c r="U59" s="174">
        <f t="shared" si="80"/>
        <v>1.2560833788036618E-05</v>
      </c>
      <c r="V59" s="501">
        <f t="shared" si="80"/>
        <v>25</v>
      </c>
      <c r="W59" s="174">
        <f t="shared" si="80"/>
        <v>0.00030285994587653014</v>
      </c>
      <c r="X59" s="174">
        <f t="shared" si="80"/>
        <v>1.5018987306888894E-05</v>
      </c>
      <c r="Y59" s="174">
        <f t="shared" si="80"/>
        <v>8.567712208645424E-05</v>
      </c>
      <c r="Z59" s="174">
        <f t="shared" si="80"/>
        <v>6.5587504202560665E-06</v>
      </c>
      <c r="AA59" s="174">
        <f t="shared" si="80"/>
        <v>0.00023410109294135157</v>
      </c>
      <c r="AB59" s="174">
        <f t="shared" si="80"/>
        <v>1.1563242337560698E-05</v>
      </c>
      <c r="AC59" s="174">
        <f t="shared" si="80"/>
        <v>5.4244724064000195E-05</v>
      </c>
      <c r="AD59" s="425">
        <f t="shared" si="80"/>
        <v>6.002083367780552E-06</v>
      </c>
      <c r="AE59" s="214">
        <f t="shared" si="21"/>
        <v>3508000</v>
      </c>
      <c r="AF59" s="174">
        <f aca="true" t="shared" si="81" ref="AF59:AO59">AF22</f>
        <v>35.53569883585274</v>
      </c>
      <c r="AG59" s="174">
        <f t="shared" si="81"/>
        <v>1.759193011675878</v>
      </c>
      <c r="AH59" s="174">
        <f t="shared" si="81"/>
        <v>9.259928050469732</v>
      </c>
      <c r="AI59" s="174">
        <f t="shared" si="81"/>
        <v>0.8312670274951951</v>
      </c>
      <c r="AJ59" s="421">
        <f t="shared" si="81"/>
        <v>0</v>
      </c>
      <c r="AK59" s="174">
        <f t="shared" si="81"/>
        <v>0</v>
      </c>
      <c r="AL59" s="174">
        <f t="shared" si="81"/>
        <v>0</v>
      </c>
      <c r="AM59" s="174">
        <f t="shared" si="81"/>
        <v>0</v>
      </c>
      <c r="AN59" s="174">
        <f t="shared" si="81"/>
        <v>0</v>
      </c>
      <c r="AO59" s="174">
        <f t="shared" si="81"/>
        <v>9.346009063023903</v>
      </c>
      <c r="AP59" s="174">
        <f t="shared" si="23"/>
        <v>7000</v>
      </c>
      <c r="AQ59" s="174">
        <f aca="true" t="shared" si="82" ref="AQ59:AZ59">AQ22</f>
        <v>0.005046433835911781</v>
      </c>
      <c r="AR59" s="174">
        <f t="shared" si="82"/>
        <v>0.0001254809001335242</v>
      </c>
      <c r="AS59" s="174">
        <f t="shared" si="82"/>
        <v>35.53065240201683</v>
      </c>
      <c r="AT59" s="174">
        <f t="shared" si="82"/>
        <v>1.759193011675878</v>
      </c>
      <c r="AU59" s="174">
        <f t="shared" si="82"/>
        <v>9.259928050469732</v>
      </c>
      <c r="AV59" s="215">
        <f t="shared" si="82"/>
        <v>0.8311415465950616</v>
      </c>
      <c r="AW59" s="174">
        <f t="shared" si="82"/>
        <v>37.62510333713606</v>
      </c>
      <c r="AX59" s="174">
        <f t="shared" si="82"/>
        <v>1.862771889650898</v>
      </c>
      <c r="AY59" s="174">
        <f t="shared" si="82"/>
        <v>9.777856102250931</v>
      </c>
      <c r="AZ59" s="215">
        <f t="shared" si="82"/>
        <v>0.8823029107060696</v>
      </c>
    </row>
    <row r="60" spans="1:52" ht="12">
      <c r="A60" s="169">
        <v>18</v>
      </c>
      <c r="B60" s="428">
        <v>2038</v>
      </c>
      <c r="C60" s="214">
        <f t="shared" si="25"/>
        <v>330000</v>
      </c>
      <c r="D60" s="174">
        <f aca="true" t="shared" si="83" ref="D60:G73">D23</f>
        <v>3.3419152510206342</v>
      </c>
      <c r="E60" s="174">
        <f t="shared" si="83"/>
        <v>0.1654413490604274</v>
      </c>
      <c r="F60" s="174">
        <f t="shared" si="83"/>
        <v>0.8708396285708212</v>
      </c>
      <c r="G60" s="174">
        <f t="shared" si="83"/>
        <v>0.0781755825230591</v>
      </c>
      <c r="H60" s="421">
        <f t="shared" si="19"/>
        <v>103000</v>
      </c>
      <c r="I60" s="174">
        <f aca="true" t="shared" si="84" ref="I60:AD60">I23</f>
        <v>1.2476984169943421</v>
      </c>
      <c r="J60" s="174">
        <f t="shared" si="84"/>
        <v>0.061874034327744895</v>
      </c>
      <c r="K60" s="174">
        <f t="shared" si="84"/>
        <v>0.352965821513686</v>
      </c>
      <c r="L60" s="174">
        <f t="shared" si="84"/>
        <v>0.027020220495418867</v>
      </c>
      <c r="M60" s="174">
        <f t="shared" si="84"/>
        <v>2.094216834026292</v>
      </c>
      <c r="N60" s="174">
        <f t="shared" si="84"/>
        <v>0.1035673147326825</v>
      </c>
      <c r="O60" s="174">
        <f t="shared" si="84"/>
        <v>0.5178738070571351</v>
      </c>
      <c r="P60" s="215">
        <f t="shared" si="84"/>
        <v>0.05115536202764023</v>
      </c>
      <c r="Q60" s="499">
        <f t="shared" si="84"/>
        <v>53</v>
      </c>
      <c r="R60" s="174">
        <f t="shared" si="84"/>
        <v>0.0005369610388178817</v>
      </c>
      <c r="S60" s="174">
        <f t="shared" si="84"/>
        <v>2.6582229644449592E-05</v>
      </c>
      <c r="T60" s="174">
        <f t="shared" si="84"/>
        <v>0.00013992184615045444</v>
      </c>
      <c r="U60" s="174">
        <f t="shared" si="84"/>
        <v>1.2560833788036618E-05</v>
      </c>
      <c r="V60" s="501">
        <f t="shared" si="84"/>
        <v>25</v>
      </c>
      <c r="W60" s="174">
        <f t="shared" si="84"/>
        <v>0.00030285994587653014</v>
      </c>
      <c r="X60" s="174">
        <f t="shared" si="84"/>
        <v>1.5018987306888894E-05</v>
      </c>
      <c r="Y60" s="174">
        <f t="shared" si="84"/>
        <v>8.567712208645424E-05</v>
      </c>
      <c r="Z60" s="174">
        <f t="shared" si="84"/>
        <v>6.5587504202560665E-06</v>
      </c>
      <c r="AA60" s="174">
        <f t="shared" si="84"/>
        <v>0.00023410109294135157</v>
      </c>
      <c r="AB60" s="174">
        <f t="shared" si="84"/>
        <v>1.1563242337560698E-05</v>
      </c>
      <c r="AC60" s="174">
        <f t="shared" si="84"/>
        <v>5.4244724064000195E-05</v>
      </c>
      <c r="AD60" s="425">
        <f t="shared" si="84"/>
        <v>6.002083367780552E-06</v>
      </c>
      <c r="AE60" s="214">
        <f t="shared" si="21"/>
        <v>3508000</v>
      </c>
      <c r="AF60" s="174">
        <f aca="true" t="shared" si="85" ref="AF60:AO60">AF23</f>
        <v>35.53569883585274</v>
      </c>
      <c r="AG60" s="174">
        <f t="shared" si="85"/>
        <v>1.759193011675878</v>
      </c>
      <c r="AH60" s="174">
        <f t="shared" si="85"/>
        <v>9.259928050469732</v>
      </c>
      <c r="AI60" s="174">
        <f t="shared" si="85"/>
        <v>0.8312670274951951</v>
      </c>
      <c r="AJ60" s="421">
        <f t="shared" si="85"/>
        <v>0</v>
      </c>
      <c r="AK60" s="174">
        <f t="shared" si="85"/>
        <v>0</v>
      </c>
      <c r="AL60" s="174">
        <f t="shared" si="85"/>
        <v>0</v>
      </c>
      <c r="AM60" s="174">
        <f t="shared" si="85"/>
        <v>0</v>
      </c>
      <c r="AN60" s="174">
        <f t="shared" si="85"/>
        <v>0</v>
      </c>
      <c r="AO60" s="174">
        <f t="shared" si="85"/>
        <v>9.346009063023903</v>
      </c>
      <c r="AP60" s="174">
        <f t="shared" si="23"/>
        <v>7000</v>
      </c>
      <c r="AQ60" s="174">
        <f aca="true" t="shared" si="86" ref="AQ60:AZ60">AQ23</f>
        <v>0.005046433835911781</v>
      </c>
      <c r="AR60" s="174">
        <f t="shared" si="86"/>
        <v>0.0001254809001335242</v>
      </c>
      <c r="AS60" s="174">
        <f t="shared" si="86"/>
        <v>35.53065240201683</v>
      </c>
      <c r="AT60" s="174">
        <f t="shared" si="86"/>
        <v>1.759193011675878</v>
      </c>
      <c r="AU60" s="174">
        <f t="shared" si="86"/>
        <v>9.259928050469732</v>
      </c>
      <c r="AV60" s="215">
        <f t="shared" si="86"/>
        <v>0.8311415465950616</v>
      </c>
      <c r="AW60" s="174">
        <f t="shared" si="86"/>
        <v>37.62510333713606</v>
      </c>
      <c r="AX60" s="174">
        <f t="shared" si="86"/>
        <v>1.862771889650898</v>
      </c>
      <c r="AY60" s="174">
        <f t="shared" si="86"/>
        <v>9.777856102250931</v>
      </c>
      <c r="AZ60" s="215">
        <f t="shared" si="86"/>
        <v>0.8823029107060696</v>
      </c>
    </row>
    <row r="61" spans="1:52" ht="12">
      <c r="A61" s="169">
        <v>19</v>
      </c>
      <c r="B61" s="428">
        <v>2039</v>
      </c>
      <c r="C61" s="214">
        <f t="shared" si="25"/>
        <v>330000</v>
      </c>
      <c r="D61" s="174">
        <f t="shared" si="83"/>
        <v>3.3419152510206342</v>
      </c>
      <c r="E61" s="174">
        <f t="shared" si="83"/>
        <v>0.1654413490604274</v>
      </c>
      <c r="F61" s="174">
        <f t="shared" si="83"/>
        <v>0.8708396285708212</v>
      </c>
      <c r="G61" s="174">
        <f t="shared" si="83"/>
        <v>0.0781755825230591</v>
      </c>
      <c r="H61" s="421">
        <f t="shared" si="19"/>
        <v>103000</v>
      </c>
      <c r="I61" s="174">
        <f aca="true" t="shared" si="87" ref="I61:AD61">I24</f>
        <v>1.2476984169943421</v>
      </c>
      <c r="J61" s="174">
        <f t="shared" si="87"/>
        <v>0.061874034327744895</v>
      </c>
      <c r="K61" s="174">
        <f t="shared" si="87"/>
        <v>0.352965821513686</v>
      </c>
      <c r="L61" s="174">
        <f t="shared" si="87"/>
        <v>0.027020220495418867</v>
      </c>
      <c r="M61" s="174">
        <f t="shared" si="87"/>
        <v>2.094216834026292</v>
      </c>
      <c r="N61" s="174">
        <f t="shared" si="87"/>
        <v>0.1035673147326825</v>
      </c>
      <c r="O61" s="174">
        <f t="shared" si="87"/>
        <v>0.5178738070571351</v>
      </c>
      <c r="P61" s="215">
        <f t="shared" si="87"/>
        <v>0.05115536202764023</v>
      </c>
      <c r="Q61" s="499">
        <f t="shared" si="87"/>
        <v>53</v>
      </c>
      <c r="R61" s="174">
        <f t="shared" si="87"/>
        <v>0.0005369610388178817</v>
      </c>
      <c r="S61" s="174">
        <f t="shared" si="87"/>
        <v>2.6582229644449592E-05</v>
      </c>
      <c r="T61" s="174">
        <f t="shared" si="87"/>
        <v>0.00013992184615045444</v>
      </c>
      <c r="U61" s="174">
        <f t="shared" si="87"/>
        <v>1.2560833788036618E-05</v>
      </c>
      <c r="V61" s="501">
        <f t="shared" si="87"/>
        <v>25</v>
      </c>
      <c r="W61" s="174">
        <f t="shared" si="87"/>
        <v>0.00030285994587653014</v>
      </c>
      <c r="X61" s="174">
        <f t="shared" si="87"/>
        <v>1.5018987306888894E-05</v>
      </c>
      <c r="Y61" s="174">
        <f t="shared" si="87"/>
        <v>8.567712208645424E-05</v>
      </c>
      <c r="Z61" s="174">
        <f t="shared" si="87"/>
        <v>6.5587504202560665E-06</v>
      </c>
      <c r="AA61" s="174">
        <f t="shared" si="87"/>
        <v>0.00023410109294135157</v>
      </c>
      <c r="AB61" s="174">
        <f t="shared" si="87"/>
        <v>1.1563242337560698E-05</v>
      </c>
      <c r="AC61" s="174">
        <f t="shared" si="87"/>
        <v>5.4244724064000195E-05</v>
      </c>
      <c r="AD61" s="425">
        <f t="shared" si="87"/>
        <v>6.002083367780552E-06</v>
      </c>
      <c r="AE61" s="214">
        <f t="shared" si="21"/>
        <v>3508000</v>
      </c>
      <c r="AF61" s="174">
        <f aca="true" t="shared" si="88" ref="AF61:AO61">AF24</f>
        <v>35.53569883585274</v>
      </c>
      <c r="AG61" s="174">
        <f t="shared" si="88"/>
        <v>1.759193011675878</v>
      </c>
      <c r="AH61" s="174">
        <f t="shared" si="88"/>
        <v>9.259928050469732</v>
      </c>
      <c r="AI61" s="174">
        <f t="shared" si="88"/>
        <v>0.8312670274951951</v>
      </c>
      <c r="AJ61" s="421">
        <f t="shared" si="88"/>
        <v>0</v>
      </c>
      <c r="AK61" s="174">
        <f t="shared" si="88"/>
        <v>0</v>
      </c>
      <c r="AL61" s="174">
        <f t="shared" si="88"/>
        <v>0</v>
      </c>
      <c r="AM61" s="174">
        <f t="shared" si="88"/>
        <v>0</v>
      </c>
      <c r="AN61" s="174">
        <f t="shared" si="88"/>
        <v>0</v>
      </c>
      <c r="AO61" s="174">
        <f t="shared" si="88"/>
        <v>9.346009063023903</v>
      </c>
      <c r="AP61" s="174">
        <f t="shared" si="23"/>
        <v>7000</v>
      </c>
      <c r="AQ61" s="174">
        <f aca="true" t="shared" si="89" ref="AQ61:AZ61">AQ24</f>
        <v>0.005046433835911781</v>
      </c>
      <c r="AR61" s="174">
        <f t="shared" si="89"/>
        <v>0.0001254809001335242</v>
      </c>
      <c r="AS61" s="174">
        <f t="shared" si="89"/>
        <v>35.53065240201683</v>
      </c>
      <c r="AT61" s="174">
        <f t="shared" si="89"/>
        <v>1.759193011675878</v>
      </c>
      <c r="AU61" s="174">
        <f t="shared" si="89"/>
        <v>9.259928050469732</v>
      </c>
      <c r="AV61" s="215">
        <f t="shared" si="89"/>
        <v>0.8311415465950616</v>
      </c>
      <c r="AW61" s="174">
        <f t="shared" si="89"/>
        <v>37.62510333713606</v>
      </c>
      <c r="AX61" s="174">
        <f t="shared" si="89"/>
        <v>1.862771889650898</v>
      </c>
      <c r="AY61" s="174">
        <f t="shared" si="89"/>
        <v>9.777856102250931</v>
      </c>
      <c r="AZ61" s="215">
        <f t="shared" si="89"/>
        <v>0.8823029107060696</v>
      </c>
    </row>
    <row r="62" spans="1:52" ht="12">
      <c r="A62" s="169">
        <v>20</v>
      </c>
      <c r="B62" s="428">
        <v>2040</v>
      </c>
      <c r="C62" s="214">
        <f t="shared" si="25"/>
        <v>330000</v>
      </c>
      <c r="D62" s="174">
        <f t="shared" si="83"/>
        <v>3.3419152510206342</v>
      </c>
      <c r="E62" s="174">
        <f t="shared" si="83"/>
        <v>0.1654413490604274</v>
      </c>
      <c r="F62" s="174">
        <f t="shared" si="83"/>
        <v>0.8708396285708212</v>
      </c>
      <c r="G62" s="174">
        <f t="shared" si="83"/>
        <v>0.0781755825230591</v>
      </c>
      <c r="H62" s="421">
        <f t="shared" si="19"/>
        <v>103000</v>
      </c>
      <c r="I62" s="174">
        <f aca="true" t="shared" si="90" ref="I62:AD62">I25</f>
        <v>1.2476984169943421</v>
      </c>
      <c r="J62" s="174">
        <f t="shared" si="90"/>
        <v>0.061874034327744895</v>
      </c>
      <c r="K62" s="174">
        <f t="shared" si="90"/>
        <v>0.352965821513686</v>
      </c>
      <c r="L62" s="174">
        <f t="shared" si="90"/>
        <v>0.027020220495418867</v>
      </c>
      <c r="M62" s="174">
        <f t="shared" si="90"/>
        <v>2.094216834026292</v>
      </c>
      <c r="N62" s="174">
        <f t="shared" si="90"/>
        <v>0.1035673147326825</v>
      </c>
      <c r="O62" s="174">
        <f t="shared" si="90"/>
        <v>0.5178738070571351</v>
      </c>
      <c r="P62" s="215">
        <f t="shared" si="90"/>
        <v>0.05115536202764023</v>
      </c>
      <c r="Q62" s="499">
        <f t="shared" si="90"/>
        <v>53</v>
      </c>
      <c r="R62" s="174">
        <f t="shared" si="90"/>
        <v>0.0005369610388178817</v>
      </c>
      <c r="S62" s="174">
        <f t="shared" si="90"/>
        <v>2.6582229644449592E-05</v>
      </c>
      <c r="T62" s="174">
        <f t="shared" si="90"/>
        <v>0.00013992184615045444</v>
      </c>
      <c r="U62" s="174">
        <f t="shared" si="90"/>
        <v>1.2560833788036618E-05</v>
      </c>
      <c r="V62" s="501">
        <f t="shared" si="90"/>
        <v>25</v>
      </c>
      <c r="W62" s="174">
        <f t="shared" si="90"/>
        <v>0.00030285994587653014</v>
      </c>
      <c r="X62" s="174">
        <f t="shared" si="90"/>
        <v>1.5018987306888894E-05</v>
      </c>
      <c r="Y62" s="174">
        <f t="shared" si="90"/>
        <v>8.567712208645424E-05</v>
      </c>
      <c r="Z62" s="174">
        <f t="shared" si="90"/>
        <v>6.5587504202560665E-06</v>
      </c>
      <c r="AA62" s="174">
        <f t="shared" si="90"/>
        <v>0.00023410109294135157</v>
      </c>
      <c r="AB62" s="174">
        <f t="shared" si="90"/>
        <v>1.1563242337560698E-05</v>
      </c>
      <c r="AC62" s="174">
        <f t="shared" si="90"/>
        <v>5.4244724064000195E-05</v>
      </c>
      <c r="AD62" s="425">
        <f t="shared" si="90"/>
        <v>6.002083367780552E-06</v>
      </c>
      <c r="AE62" s="214">
        <f t="shared" si="21"/>
        <v>3508000</v>
      </c>
      <c r="AF62" s="174">
        <f aca="true" t="shared" si="91" ref="AF62:AO62">AF25</f>
        <v>35.53569883585274</v>
      </c>
      <c r="AG62" s="174">
        <f t="shared" si="91"/>
        <v>1.759193011675878</v>
      </c>
      <c r="AH62" s="174">
        <f t="shared" si="91"/>
        <v>9.259928050469732</v>
      </c>
      <c r="AI62" s="174">
        <f t="shared" si="91"/>
        <v>0.8312670274951951</v>
      </c>
      <c r="AJ62" s="421">
        <f t="shared" si="91"/>
        <v>0</v>
      </c>
      <c r="AK62" s="174">
        <f t="shared" si="91"/>
        <v>0</v>
      </c>
      <c r="AL62" s="174">
        <f t="shared" si="91"/>
        <v>0</v>
      </c>
      <c r="AM62" s="174">
        <f t="shared" si="91"/>
        <v>0</v>
      </c>
      <c r="AN62" s="174">
        <f t="shared" si="91"/>
        <v>0</v>
      </c>
      <c r="AO62" s="174">
        <f t="shared" si="91"/>
        <v>9.346009063023903</v>
      </c>
      <c r="AP62" s="174">
        <f t="shared" si="23"/>
        <v>7000</v>
      </c>
      <c r="AQ62" s="174">
        <f aca="true" t="shared" si="92" ref="AQ62:AZ62">AQ25</f>
        <v>0.005046433835911781</v>
      </c>
      <c r="AR62" s="174">
        <f t="shared" si="92"/>
        <v>0.0001254809001335242</v>
      </c>
      <c r="AS62" s="174">
        <f t="shared" si="92"/>
        <v>35.53065240201683</v>
      </c>
      <c r="AT62" s="174">
        <f t="shared" si="92"/>
        <v>1.759193011675878</v>
      </c>
      <c r="AU62" s="174">
        <f t="shared" si="92"/>
        <v>9.259928050469732</v>
      </c>
      <c r="AV62" s="215">
        <f t="shared" si="92"/>
        <v>0.8311415465950616</v>
      </c>
      <c r="AW62" s="174">
        <f t="shared" si="92"/>
        <v>37.62510333713606</v>
      </c>
      <c r="AX62" s="174">
        <f t="shared" si="92"/>
        <v>1.862771889650898</v>
      </c>
      <c r="AY62" s="174">
        <f t="shared" si="92"/>
        <v>9.777856102250931</v>
      </c>
      <c r="AZ62" s="215">
        <f t="shared" si="92"/>
        <v>0.8823029107060696</v>
      </c>
    </row>
    <row r="63" spans="1:52" ht="12">
      <c r="A63" s="169">
        <v>21</v>
      </c>
      <c r="B63" s="428">
        <v>2041</v>
      </c>
      <c r="C63" s="214">
        <f t="shared" si="25"/>
        <v>330000</v>
      </c>
      <c r="D63" s="174">
        <f t="shared" si="83"/>
        <v>3.3419152510206342</v>
      </c>
      <c r="E63" s="174">
        <f t="shared" si="83"/>
        <v>0.1654413490604274</v>
      </c>
      <c r="F63" s="174">
        <f t="shared" si="83"/>
        <v>0.8708396285708212</v>
      </c>
      <c r="G63" s="174">
        <f t="shared" si="83"/>
        <v>0.0781755825230591</v>
      </c>
      <c r="H63" s="421">
        <f t="shared" si="19"/>
        <v>103000</v>
      </c>
      <c r="I63" s="174">
        <f aca="true" t="shared" si="93" ref="I63:AD63">I26</f>
        <v>1.2476984169943421</v>
      </c>
      <c r="J63" s="174">
        <f t="shared" si="93"/>
        <v>0.061874034327744895</v>
      </c>
      <c r="K63" s="174">
        <f t="shared" si="93"/>
        <v>0.352965821513686</v>
      </c>
      <c r="L63" s="174">
        <f t="shared" si="93"/>
        <v>0.027020220495418867</v>
      </c>
      <c r="M63" s="174">
        <f t="shared" si="93"/>
        <v>2.094216834026292</v>
      </c>
      <c r="N63" s="174">
        <f t="shared" si="93"/>
        <v>0.1035673147326825</v>
      </c>
      <c r="O63" s="174">
        <f t="shared" si="93"/>
        <v>0.5178738070571351</v>
      </c>
      <c r="P63" s="215">
        <f t="shared" si="93"/>
        <v>0.05115536202764023</v>
      </c>
      <c r="Q63" s="499">
        <f t="shared" si="93"/>
        <v>53</v>
      </c>
      <c r="R63" s="174">
        <f t="shared" si="93"/>
        <v>0.0005369610388178817</v>
      </c>
      <c r="S63" s="174">
        <f t="shared" si="93"/>
        <v>2.6582229644449592E-05</v>
      </c>
      <c r="T63" s="174">
        <f t="shared" si="93"/>
        <v>0.00013992184615045444</v>
      </c>
      <c r="U63" s="174">
        <f t="shared" si="93"/>
        <v>1.2560833788036618E-05</v>
      </c>
      <c r="V63" s="501">
        <f t="shared" si="93"/>
        <v>25</v>
      </c>
      <c r="W63" s="174">
        <f t="shared" si="93"/>
        <v>0.00030285994587653014</v>
      </c>
      <c r="X63" s="174">
        <f t="shared" si="93"/>
        <v>1.5018987306888894E-05</v>
      </c>
      <c r="Y63" s="174">
        <f t="shared" si="93"/>
        <v>8.567712208645424E-05</v>
      </c>
      <c r="Z63" s="174">
        <f t="shared" si="93"/>
        <v>6.5587504202560665E-06</v>
      </c>
      <c r="AA63" s="174">
        <f t="shared" si="93"/>
        <v>0.00023410109294135157</v>
      </c>
      <c r="AB63" s="174">
        <f t="shared" si="93"/>
        <v>1.1563242337560698E-05</v>
      </c>
      <c r="AC63" s="174">
        <f t="shared" si="93"/>
        <v>5.4244724064000195E-05</v>
      </c>
      <c r="AD63" s="425">
        <f t="shared" si="93"/>
        <v>6.002083367780552E-06</v>
      </c>
      <c r="AE63" s="214">
        <f t="shared" si="21"/>
        <v>3508000</v>
      </c>
      <c r="AF63" s="174">
        <f aca="true" t="shared" si="94" ref="AF63:AO63">AF26</f>
        <v>35.53569883585274</v>
      </c>
      <c r="AG63" s="174">
        <f t="shared" si="94"/>
        <v>1.759193011675878</v>
      </c>
      <c r="AH63" s="174">
        <f t="shared" si="94"/>
        <v>9.259928050469732</v>
      </c>
      <c r="AI63" s="174">
        <f t="shared" si="94"/>
        <v>0.8312670274951951</v>
      </c>
      <c r="AJ63" s="421">
        <f t="shared" si="94"/>
        <v>0</v>
      </c>
      <c r="AK63" s="174">
        <f t="shared" si="94"/>
        <v>0</v>
      </c>
      <c r="AL63" s="174">
        <f t="shared" si="94"/>
        <v>0</v>
      </c>
      <c r="AM63" s="174">
        <f t="shared" si="94"/>
        <v>0</v>
      </c>
      <c r="AN63" s="174">
        <f t="shared" si="94"/>
        <v>0</v>
      </c>
      <c r="AO63" s="174">
        <f t="shared" si="94"/>
        <v>9.346009063023903</v>
      </c>
      <c r="AP63" s="174">
        <f t="shared" si="23"/>
        <v>7000</v>
      </c>
      <c r="AQ63" s="174">
        <f aca="true" t="shared" si="95" ref="AQ63:AZ63">AQ26</f>
        <v>0.005046433835911781</v>
      </c>
      <c r="AR63" s="174">
        <f t="shared" si="95"/>
        <v>0.0001254809001335242</v>
      </c>
      <c r="AS63" s="174">
        <f t="shared" si="95"/>
        <v>35.53065240201683</v>
      </c>
      <c r="AT63" s="174">
        <f t="shared" si="95"/>
        <v>1.759193011675878</v>
      </c>
      <c r="AU63" s="174">
        <f t="shared" si="95"/>
        <v>9.259928050469732</v>
      </c>
      <c r="AV63" s="215">
        <f t="shared" si="95"/>
        <v>0.8311415465950616</v>
      </c>
      <c r="AW63" s="174">
        <f t="shared" si="95"/>
        <v>37.62510333713606</v>
      </c>
      <c r="AX63" s="174">
        <f t="shared" si="95"/>
        <v>1.862771889650898</v>
      </c>
      <c r="AY63" s="174">
        <f t="shared" si="95"/>
        <v>9.777856102250931</v>
      </c>
      <c r="AZ63" s="215">
        <f t="shared" si="95"/>
        <v>0.8823029107060696</v>
      </c>
    </row>
    <row r="64" spans="1:52" ht="12">
      <c r="A64" s="169">
        <v>22</v>
      </c>
      <c r="B64" s="428">
        <v>2042</v>
      </c>
      <c r="C64" s="214">
        <f t="shared" si="25"/>
        <v>330000</v>
      </c>
      <c r="D64" s="174">
        <f t="shared" si="83"/>
        <v>3.3419152510206342</v>
      </c>
      <c r="E64" s="174">
        <f t="shared" si="83"/>
        <v>0.1654413490604274</v>
      </c>
      <c r="F64" s="174">
        <f t="shared" si="83"/>
        <v>0.8708396285708212</v>
      </c>
      <c r="G64" s="174">
        <f t="shared" si="83"/>
        <v>0.0781755825230591</v>
      </c>
      <c r="H64" s="421">
        <f t="shared" si="19"/>
        <v>103000</v>
      </c>
      <c r="I64" s="174">
        <f aca="true" t="shared" si="96" ref="I64:AD64">I27</f>
        <v>1.2476984169943421</v>
      </c>
      <c r="J64" s="174">
        <f t="shared" si="96"/>
        <v>0.061874034327744895</v>
      </c>
      <c r="K64" s="174">
        <f t="shared" si="96"/>
        <v>0.352965821513686</v>
      </c>
      <c r="L64" s="174">
        <f t="shared" si="96"/>
        <v>0.027020220495418867</v>
      </c>
      <c r="M64" s="174">
        <f t="shared" si="96"/>
        <v>2.094216834026292</v>
      </c>
      <c r="N64" s="174">
        <f t="shared" si="96"/>
        <v>0.1035673147326825</v>
      </c>
      <c r="O64" s="174">
        <f t="shared" si="96"/>
        <v>0.5178738070571351</v>
      </c>
      <c r="P64" s="215">
        <f t="shared" si="96"/>
        <v>0.05115536202764023</v>
      </c>
      <c r="Q64" s="499">
        <f t="shared" si="96"/>
        <v>53</v>
      </c>
      <c r="R64" s="174">
        <f t="shared" si="96"/>
        <v>0.0005369610388178817</v>
      </c>
      <c r="S64" s="174">
        <f t="shared" si="96"/>
        <v>2.6582229644449592E-05</v>
      </c>
      <c r="T64" s="174">
        <f t="shared" si="96"/>
        <v>0.00013992184615045444</v>
      </c>
      <c r="U64" s="174">
        <f t="shared" si="96"/>
        <v>1.2560833788036618E-05</v>
      </c>
      <c r="V64" s="501">
        <f t="shared" si="96"/>
        <v>25</v>
      </c>
      <c r="W64" s="174">
        <f t="shared" si="96"/>
        <v>0.00030285994587653014</v>
      </c>
      <c r="X64" s="174">
        <f t="shared" si="96"/>
        <v>1.5018987306888894E-05</v>
      </c>
      <c r="Y64" s="174">
        <f t="shared" si="96"/>
        <v>8.567712208645424E-05</v>
      </c>
      <c r="Z64" s="174">
        <f t="shared" si="96"/>
        <v>6.5587504202560665E-06</v>
      </c>
      <c r="AA64" s="174">
        <f t="shared" si="96"/>
        <v>0.00023410109294135157</v>
      </c>
      <c r="AB64" s="174">
        <f t="shared" si="96"/>
        <v>1.1563242337560698E-05</v>
      </c>
      <c r="AC64" s="174">
        <f t="shared" si="96"/>
        <v>5.4244724064000195E-05</v>
      </c>
      <c r="AD64" s="425">
        <f t="shared" si="96"/>
        <v>6.002083367780552E-06</v>
      </c>
      <c r="AE64" s="214">
        <f t="shared" si="21"/>
        <v>3508000</v>
      </c>
      <c r="AF64" s="174">
        <f aca="true" t="shared" si="97" ref="AF64:AO64">AF27</f>
        <v>35.53569883585274</v>
      </c>
      <c r="AG64" s="174">
        <f t="shared" si="97"/>
        <v>1.759193011675878</v>
      </c>
      <c r="AH64" s="174">
        <f t="shared" si="97"/>
        <v>9.259928050469732</v>
      </c>
      <c r="AI64" s="174">
        <f t="shared" si="97"/>
        <v>0.8312670274951951</v>
      </c>
      <c r="AJ64" s="421">
        <f t="shared" si="97"/>
        <v>0</v>
      </c>
      <c r="AK64" s="174">
        <f t="shared" si="97"/>
        <v>0</v>
      </c>
      <c r="AL64" s="174">
        <f t="shared" si="97"/>
        <v>0</v>
      </c>
      <c r="AM64" s="174">
        <f t="shared" si="97"/>
        <v>0</v>
      </c>
      <c r="AN64" s="174">
        <f t="shared" si="97"/>
        <v>0</v>
      </c>
      <c r="AO64" s="174">
        <f t="shared" si="97"/>
        <v>9.346009063023903</v>
      </c>
      <c r="AP64" s="174">
        <f t="shared" si="23"/>
        <v>7000</v>
      </c>
      <c r="AQ64" s="174">
        <f aca="true" t="shared" si="98" ref="AQ64:AZ64">AQ27</f>
        <v>0.005046433835911781</v>
      </c>
      <c r="AR64" s="174">
        <f t="shared" si="98"/>
        <v>0.0001254809001335242</v>
      </c>
      <c r="AS64" s="174">
        <f t="shared" si="98"/>
        <v>35.53065240201683</v>
      </c>
      <c r="AT64" s="174">
        <f t="shared" si="98"/>
        <v>1.759193011675878</v>
      </c>
      <c r="AU64" s="174">
        <f t="shared" si="98"/>
        <v>9.259928050469732</v>
      </c>
      <c r="AV64" s="215">
        <f t="shared" si="98"/>
        <v>0.8311415465950616</v>
      </c>
      <c r="AW64" s="174">
        <f t="shared" si="98"/>
        <v>37.62510333713606</v>
      </c>
      <c r="AX64" s="174">
        <f t="shared" si="98"/>
        <v>1.862771889650898</v>
      </c>
      <c r="AY64" s="174">
        <f t="shared" si="98"/>
        <v>9.777856102250931</v>
      </c>
      <c r="AZ64" s="215">
        <f t="shared" si="98"/>
        <v>0.8823029107060696</v>
      </c>
    </row>
    <row r="65" spans="1:52" ht="12">
      <c r="A65" s="169">
        <v>23</v>
      </c>
      <c r="B65" s="428">
        <v>2043</v>
      </c>
      <c r="C65" s="214">
        <f t="shared" si="25"/>
        <v>330000</v>
      </c>
      <c r="D65" s="174">
        <f t="shared" si="83"/>
        <v>3.3419152510206342</v>
      </c>
      <c r="E65" s="174">
        <f t="shared" si="83"/>
        <v>0.1654413490604274</v>
      </c>
      <c r="F65" s="174">
        <f t="shared" si="83"/>
        <v>0.8708396285708212</v>
      </c>
      <c r="G65" s="174">
        <f t="shared" si="83"/>
        <v>0.0781755825230591</v>
      </c>
      <c r="H65" s="421">
        <f t="shared" si="19"/>
        <v>103000</v>
      </c>
      <c r="I65" s="174">
        <f aca="true" t="shared" si="99" ref="I65:AD65">I28</f>
        <v>1.2476984169943421</v>
      </c>
      <c r="J65" s="174">
        <f t="shared" si="99"/>
        <v>0.061874034327744895</v>
      </c>
      <c r="K65" s="174">
        <f t="shared" si="99"/>
        <v>0.352965821513686</v>
      </c>
      <c r="L65" s="174">
        <f t="shared" si="99"/>
        <v>0.027020220495418867</v>
      </c>
      <c r="M65" s="174">
        <f t="shared" si="99"/>
        <v>2.094216834026292</v>
      </c>
      <c r="N65" s="174">
        <f t="shared" si="99"/>
        <v>0.1035673147326825</v>
      </c>
      <c r="O65" s="174">
        <f t="shared" si="99"/>
        <v>0.5178738070571351</v>
      </c>
      <c r="P65" s="215">
        <f t="shared" si="99"/>
        <v>0.05115536202764023</v>
      </c>
      <c r="Q65" s="499">
        <f t="shared" si="99"/>
        <v>53</v>
      </c>
      <c r="R65" s="174">
        <f t="shared" si="99"/>
        <v>0.0005369610388178817</v>
      </c>
      <c r="S65" s="174">
        <f t="shared" si="99"/>
        <v>2.6582229644449592E-05</v>
      </c>
      <c r="T65" s="174">
        <f t="shared" si="99"/>
        <v>0.00013992184615045444</v>
      </c>
      <c r="U65" s="174">
        <f t="shared" si="99"/>
        <v>1.2560833788036618E-05</v>
      </c>
      <c r="V65" s="501">
        <f t="shared" si="99"/>
        <v>25</v>
      </c>
      <c r="W65" s="174">
        <f t="shared" si="99"/>
        <v>0.00030285994587653014</v>
      </c>
      <c r="X65" s="174">
        <f t="shared" si="99"/>
        <v>1.5018987306888894E-05</v>
      </c>
      <c r="Y65" s="174">
        <f t="shared" si="99"/>
        <v>8.567712208645424E-05</v>
      </c>
      <c r="Z65" s="174">
        <f t="shared" si="99"/>
        <v>6.5587504202560665E-06</v>
      </c>
      <c r="AA65" s="174">
        <f t="shared" si="99"/>
        <v>0.00023410109294135157</v>
      </c>
      <c r="AB65" s="174">
        <f t="shared" si="99"/>
        <v>1.1563242337560698E-05</v>
      </c>
      <c r="AC65" s="174">
        <f t="shared" si="99"/>
        <v>5.4244724064000195E-05</v>
      </c>
      <c r="AD65" s="425">
        <f t="shared" si="99"/>
        <v>6.002083367780552E-06</v>
      </c>
      <c r="AE65" s="214">
        <f t="shared" si="21"/>
        <v>3508000</v>
      </c>
      <c r="AF65" s="174">
        <f aca="true" t="shared" si="100" ref="AF65:AO65">AF28</f>
        <v>35.53569883585274</v>
      </c>
      <c r="AG65" s="174">
        <f t="shared" si="100"/>
        <v>1.759193011675878</v>
      </c>
      <c r="AH65" s="174">
        <f t="shared" si="100"/>
        <v>9.259928050469732</v>
      </c>
      <c r="AI65" s="174">
        <f t="shared" si="100"/>
        <v>0.8312670274951951</v>
      </c>
      <c r="AJ65" s="421">
        <f t="shared" si="100"/>
        <v>0</v>
      </c>
      <c r="AK65" s="174">
        <f t="shared" si="100"/>
        <v>0</v>
      </c>
      <c r="AL65" s="174">
        <f t="shared" si="100"/>
        <v>0</v>
      </c>
      <c r="AM65" s="174">
        <f t="shared" si="100"/>
        <v>0</v>
      </c>
      <c r="AN65" s="174">
        <f t="shared" si="100"/>
        <v>0</v>
      </c>
      <c r="AO65" s="174">
        <f t="shared" si="100"/>
        <v>9.346009063023903</v>
      </c>
      <c r="AP65" s="174">
        <f t="shared" si="23"/>
        <v>7000</v>
      </c>
      <c r="AQ65" s="174">
        <f aca="true" t="shared" si="101" ref="AQ65:AZ65">AQ28</f>
        <v>0.005046433835911781</v>
      </c>
      <c r="AR65" s="174">
        <f t="shared" si="101"/>
        <v>0.0001254809001335242</v>
      </c>
      <c r="AS65" s="174">
        <f t="shared" si="101"/>
        <v>35.53065240201683</v>
      </c>
      <c r="AT65" s="174">
        <f t="shared" si="101"/>
        <v>1.759193011675878</v>
      </c>
      <c r="AU65" s="174">
        <f t="shared" si="101"/>
        <v>9.259928050469732</v>
      </c>
      <c r="AV65" s="215">
        <f t="shared" si="101"/>
        <v>0.8311415465950616</v>
      </c>
      <c r="AW65" s="174">
        <f t="shared" si="101"/>
        <v>37.62510333713606</v>
      </c>
      <c r="AX65" s="174">
        <f t="shared" si="101"/>
        <v>1.862771889650898</v>
      </c>
      <c r="AY65" s="174">
        <f t="shared" si="101"/>
        <v>9.777856102250931</v>
      </c>
      <c r="AZ65" s="215">
        <f t="shared" si="101"/>
        <v>0.8823029107060696</v>
      </c>
    </row>
    <row r="66" spans="1:52" ht="12">
      <c r="A66" s="169">
        <v>24</v>
      </c>
      <c r="B66" s="428">
        <v>2044</v>
      </c>
      <c r="C66" s="214">
        <f t="shared" si="25"/>
        <v>330000</v>
      </c>
      <c r="D66" s="174">
        <f t="shared" si="83"/>
        <v>3.3419152510206342</v>
      </c>
      <c r="E66" s="174">
        <f t="shared" si="83"/>
        <v>0.1654413490604274</v>
      </c>
      <c r="F66" s="174">
        <f t="shared" si="83"/>
        <v>0.8708396285708212</v>
      </c>
      <c r="G66" s="174">
        <f t="shared" si="83"/>
        <v>0.0781755825230591</v>
      </c>
      <c r="H66" s="421">
        <f t="shared" si="19"/>
        <v>103000</v>
      </c>
      <c r="I66" s="174">
        <f aca="true" t="shared" si="102" ref="I66:AD66">I29</f>
        <v>1.2476984169943421</v>
      </c>
      <c r="J66" s="174">
        <f t="shared" si="102"/>
        <v>0.061874034327744895</v>
      </c>
      <c r="K66" s="174">
        <f t="shared" si="102"/>
        <v>0.352965821513686</v>
      </c>
      <c r="L66" s="174">
        <f t="shared" si="102"/>
        <v>0.027020220495418867</v>
      </c>
      <c r="M66" s="174">
        <f t="shared" si="102"/>
        <v>2.094216834026292</v>
      </c>
      <c r="N66" s="174">
        <f t="shared" si="102"/>
        <v>0.1035673147326825</v>
      </c>
      <c r="O66" s="174">
        <f t="shared" si="102"/>
        <v>0.5178738070571351</v>
      </c>
      <c r="P66" s="215">
        <f t="shared" si="102"/>
        <v>0.05115536202764023</v>
      </c>
      <c r="Q66" s="499">
        <f t="shared" si="102"/>
        <v>53</v>
      </c>
      <c r="R66" s="174">
        <f t="shared" si="102"/>
        <v>0.0005369610388178817</v>
      </c>
      <c r="S66" s="174">
        <f t="shared" si="102"/>
        <v>2.6582229644449592E-05</v>
      </c>
      <c r="T66" s="174">
        <f t="shared" si="102"/>
        <v>0.00013992184615045444</v>
      </c>
      <c r="U66" s="174">
        <f t="shared" si="102"/>
        <v>1.2560833788036618E-05</v>
      </c>
      <c r="V66" s="501">
        <f t="shared" si="102"/>
        <v>25</v>
      </c>
      <c r="W66" s="174">
        <f t="shared" si="102"/>
        <v>0.00030285994587653014</v>
      </c>
      <c r="X66" s="174">
        <f t="shared" si="102"/>
        <v>1.5018987306888894E-05</v>
      </c>
      <c r="Y66" s="174">
        <f t="shared" si="102"/>
        <v>8.567712208645424E-05</v>
      </c>
      <c r="Z66" s="174">
        <f t="shared" si="102"/>
        <v>6.5587504202560665E-06</v>
      </c>
      <c r="AA66" s="174">
        <f t="shared" si="102"/>
        <v>0.00023410109294135157</v>
      </c>
      <c r="AB66" s="174">
        <f t="shared" si="102"/>
        <v>1.1563242337560698E-05</v>
      </c>
      <c r="AC66" s="174">
        <f t="shared" si="102"/>
        <v>5.4244724064000195E-05</v>
      </c>
      <c r="AD66" s="425">
        <f t="shared" si="102"/>
        <v>6.002083367780552E-06</v>
      </c>
      <c r="AE66" s="214">
        <f t="shared" si="21"/>
        <v>3508000</v>
      </c>
      <c r="AF66" s="174">
        <f aca="true" t="shared" si="103" ref="AF66:AO66">AF29</f>
        <v>35.53569883585274</v>
      </c>
      <c r="AG66" s="174">
        <f t="shared" si="103"/>
        <v>1.759193011675878</v>
      </c>
      <c r="AH66" s="174">
        <f t="shared" si="103"/>
        <v>9.259928050469732</v>
      </c>
      <c r="AI66" s="174">
        <f t="shared" si="103"/>
        <v>0.8312670274951951</v>
      </c>
      <c r="AJ66" s="421">
        <f t="shared" si="103"/>
        <v>0</v>
      </c>
      <c r="AK66" s="174">
        <f t="shared" si="103"/>
        <v>0</v>
      </c>
      <c r="AL66" s="174">
        <f t="shared" si="103"/>
        <v>0</v>
      </c>
      <c r="AM66" s="174">
        <f t="shared" si="103"/>
        <v>0</v>
      </c>
      <c r="AN66" s="174">
        <f t="shared" si="103"/>
        <v>0</v>
      </c>
      <c r="AO66" s="174">
        <f t="shared" si="103"/>
        <v>9.346009063023903</v>
      </c>
      <c r="AP66" s="174">
        <f t="shared" si="23"/>
        <v>7000</v>
      </c>
      <c r="AQ66" s="174">
        <f aca="true" t="shared" si="104" ref="AQ66:AZ66">AQ29</f>
        <v>0.005046433835911781</v>
      </c>
      <c r="AR66" s="174">
        <f t="shared" si="104"/>
        <v>0.0001254809001335242</v>
      </c>
      <c r="AS66" s="174">
        <f t="shared" si="104"/>
        <v>35.53065240201683</v>
      </c>
      <c r="AT66" s="174">
        <f t="shared" si="104"/>
        <v>1.759193011675878</v>
      </c>
      <c r="AU66" s="174">
        <f t="shared" si="104"/>
        <v>9.259928050469732</v>
      </c>
      <c r="AV66" s="215">
        <f t="shared" si="104"/>
        <v>0.8311415465950616</v>
      </c>
      <c r="AW66" s="174">
        <f t="shared" si="104"/>
        <v>37.62510333713606</v>
      </c>
      <c r="AX66" s="174">
        <f t="shared" si="104"/>
        <v>1.862771889650898</v>
      </c>
      <c r="AY66" s="174">
        <f t="shared" si="104"/>
        <v>9.777856102250931</v>
      </c>
      <c r="AZ66" s="215">
        <f t="shared" si="104"/>
        <v>0.8823029107060696</v>
      </c>
    </row>
    <row r="67" spans="1:52" ht="12">
      <c r="A67" s="169">
        <v>25</v>
      </c>
      <c r="B67" s="428">
        <v>2045</v>
      </c>
      <c r="C67" s="214">
        <f t="shared" si="25"/>
        <v>330000</v>
      </c>
      <c r="D67" s="174">
        <f t="shared" si="83"/>
        <v>3.3419152510206342</v>
      </c>
      <c r="E67" s="174">
        <f t="shared" si="83"/>
        <v>0.1654413490604274</v>
      </c>
      <c r="F67" s="174">
        <f t="shared" si="83"/>
        <v>0.8708396285708212</v>
      </c>
      <c r="G67" s="174">
        <f t="shared" si="83"/>
        <v>0.0781755825230591</v>
      </c>
      <c r="H67" s="421">
        <f t="shared" si="19"/>
        <v>103000</v>
      </c>
      <c r="I67" s="174">
        <f aca="true" t="shared" si="105" ref="I67:AD67">I30</f>
        <v>1.2476984169943421</v>
      </c>
      <c r="J67" s="174">
        <f t="shared" si="105"/>
        <v>0.061874034327744895</v>
      </c>
      <c r="K67" s="174">
        <f t="shared" si="105"/>
        <v>0.352965821513686</v>
      </c>
      <c r="L67" s="174">
        <f t="shared" si="105"/>
        <v>0.027020220495418867</v>
      </c>
      <c r="M67" s="174">
        <f t="shared" si="105"/>
        <v>2.094216834026292</v>
      </c>
      <c r="N67" s="174">
        <f t="shared" si="105"/>
        <v>0.1035673147326825</v>
      </c>
      <c r="O67" s="174">
        <f t="shared" si="105"/>
        <v>0.5178738070571351</v>
      </c>
      <c r="P67" s="215">
        <f t="shared" si="105"/>
        <v>0.05115536202764023</v>
      </c>
      <c r="Q67" s="499">
        <f t="shared" si="105"/>
        <v>53</v>
      </c>
      <c r="R67" s="174">
        <f t="shared" si="105"/>
        <v>0.0005369610388178817</v>
      </c>
      <c r="S67" s="174">
        <f t="shared" si="105"/>
        <v>2.6582229644449592E-05</v>
      </c>
      <c r="T67" s="174">
        <f t="shared" si="105"/>
        <v>0.00013992184615045444</v>
      </c>
      <c r="U67" s="174">
        <f t="shared" si="105"/>
        <v>1.2560833788036618E-05</v>
      </c>
      <c r="V67" s="501">
        <f t="shared" si="105"/>
        <v>25</v>
      </c>
      <c r="W67" s="174">
        <f t="shared" si="105"/>
        <v>0.00030285994587653014</v>
      </c>
      <c r="X67" s="174">
        <f t="shared" si="105"/>
        <v>1.5018987306888894E-05</v>
      </c>
      <c r="Y67" s="174">
        <f t="shared" si="105"/>
        <v>8.567712208645424E-05</v>
      </c>
      <c r="Z67" s="174">
        <f t="shared" si="105"/>
        <v>6.5587504202560665E-06</v>
      </c>
      <c r="AA67" s="174">
        <f t="shared" si="105"/>
        <v>0.00023410109294135157</v>
      </c>
      <c r="AB67" s="174">
        <f t="shared" si="105"/>
        <v>1.1563242337560698E-05</v>
      </c>
      <c r="AC67" s="174">
        <f t="shared" si="105"/>
        <v>5.4244724064000195E-05</v>
      </c>
      <c r="AD67" s="425">
        <f t="shared" si="105"/>
        <v>6.002083367780552E-06</v>
      </c>
      <c r="AE67" s="214">
        <f t="shared" si="21"/>
        <v>3508000</v>
      </c>
      <c r="AF67" s="174">
        <f aca="true" t="shared" si="106" ref="AF67:AO67">AF30</f>
        <v>35.53569883585274</v>
      </c>
      <c r="AG67" s="174">
        <f t="shared" si="106"/>
        <v>1.759193011675878</v>
      </c>
      <c r="AH67" s="174">
        <f t="shared" si="106"/>
        <v>9.259928050469732</v>
      </c>
      <c r="AI67" s="174">
        <f t="shared" si="106"/>
        <v>0.8312670274951951</v>
      </c>
      <c r="AJ67" s="421">
        <f t="shared" si="106"/>
        <v>0</v>
      </c>
      <c r="AK67" s="174">
        <f t="shared" si="106"/>
        <v>0</v>
      </c>
      <c r="AL67" s="174">
        <f t="shared" si="106"/>
        <v>0</v>
      </c>
      <c r="AM67" s="174">
        <f t="shared" si="106"/>
        <v>0</v>
      </c>
      <c r="AN67" s="174">
        <f t="shared" si="106"/>
        <v>0</v>
      </c>
      <c r="AO67" s="174">
        <f t="shared" si="106"/>
        <v>9.346009063023903</v>
      </c>
      <c r="AP67" s="174">
        <f t="shared" si="23"/>
        <v>7000</v>
      </c>
      <c r="AQ67" s="174">
        <f aca="true" t="shared" si="107" ref="AQ67:AZ67">AQ30</f>
        <v>0.005046433835911781</v>
      </c>
      <c r="AR67" s="174">
        <f t="shared" si="107"/>
        <v>0.0001254809001335242</v>
      </c>
      <c r="AS67" s="174">
        <f t="shared" si="107"/>
        <v>35.53065240201683</v>
      </c>
      <c r="AT67" s="174">
        <f t="shared" si="107"/>
        <v>1.759193011675878</v>
      </c>
      <c r="AU67" s="174">
        <f t="shared" si="107"/>
        <v>9.259928050469732</v>
      </c>
      <c r="AV67" s="215">
        <f t="shared" si="107"/>
        <v>0.8311415465950616</v>
      </c>
      <c r="AW67" s="174">
        <f t="shared" si="107"/>
        <v>37.62510333713606</v>
      </c>
      <c r="AX67" s="174">
        <f t="shared" si="107"/>
        <v>1.862771889650898</v>
      </c>
      <c r="AY67" s="174">
        <f t="shared" si="107"/>
        <v>9.777856102250931</v>
      </c>
      <c r="AZ67" s="215">
        <f t="shared" si="107"/>
        <v>0.8823029107060696</v>
      </c>
    </row>
    <row r="68" spans="1:52" ht="12">
      <c r="A68" s="169">
        <v>26</v>
      </c>
      <c r="B68" s="428">
        <v>2046</v>
      </c>
      <c r="C68" s="214">
        <f t="shared" si="25"/>
        <v>330000</v>
      </c>
      <c r="D68" s="174">
        <f t="shared" si="83"/>
        <v>3.3419152510206342</v>
      </c>
      <c r="E68" s="174">
        <f t="shared" si="83"/>
        <v>0.1654413490604274</v>
      </c>
      <c r="F68" s="174">
        <f t="shared" si="83"/>
        <v>0.8708396285708212</v>
      </c>
      <c r="G68" s="174">
        <f t="shared" si="83"/>
        <v>0.0781755825230591</v>
      </c>
      <c r="H68" s="421">
        <f t="shared" si="19"/>
        <v>103000</v>
      </c>
      <c r="I68" s="174">
        <f aca="true" t="shared" si="108" ref="I68:AD68">I31</f>
        <v>1.2476984169943421</v>
      </c>
      <c r="J68" s="174">
        <f t="shared" si="108"/>
        <v>0.061874034327744895</v>
      </c>
      <c r="K68" s="174">
        <f t="shared" si="108"/>
        <v>0.352965821513686</v>
      </c>
      <c r="L68" s="174">
        <f t="shared" si="108"/>
        <v>0.027020220495418867</v>
      </c>
      <c r="M68" s="174">
        <f t="shared" si="108"/>
        <v>2.094216834026292</v>
      </c>
      <c r="N68" s="174">
        <f t="shared" si="108"/>
        <v>0.1035673147326825</v>
      </c>
      <c r="O68" s="174">
        <f t="shared" si="108"/>
        <v>0.5178738070571351</v>
      </c>
      <c r="P68" s="215">
        <f t="shared" si="108"/>
        <v>0.05115536202764023</v>
      </c>
      <c r="Q68" s="499">
        <f t="shared" si="108"/>
        <v>53</v>
      </c>
      <c r="R68" s="174">
        <f t="shared" si="108"/>
        <v>0.0005369610388178817</v>
      </c>
      <c r="S68" s="174">
        <f t="shared" si="108"/>
        <v>2.6582229644449592E-05</v>
      </c>
      <c r="T68" s="174">
        <f t="shared" si="108"/>
        <v>0.00013992184615045444</v>
      </c>
      <c r="U68" s="174">
        <f t="shared" si="108"/>
        <v>1.2560833788036618E-05</v>
      </c>
      <c r="V68" s="501">
        <f t="shared" si="108"/>
        <v>25</v>
      </c>
      <c r="W68" s="174">
        <f t="shared" si="108"/>
        <v>0.00030285994587653014</v>
      </c>
      <c r="X68" s="174">
        <f t="shared" si="108"/>
        <v>1.5018987306888894E-05</v>
      </c>
      <c r="Y68" s="174">
        <f t="shared" si="108"/>
        <v>8.567712208645424E-05</v>
      </c>
      <c r="Z68" s="174">
        <f t="shared" si="108"/>
        <v>6.5587504202560665E-06</v>
      </c>
      <c r="AA68" s="174">
        <f t="shared" si="108"/>
        <v>0.00023410109294135157</v>
      </c>
      <c r="AB68" s="174">
        <f t="shared" si="108"/>
        <v>1.1563242337560698E-05</v>
      </c>
      <c r="AC68" s="174">
        <f t="shared" si="108"/>
        <v>5.4244724064000195E-05</v>
      </c>
      <c r="AD68" s="425">
        <f t="shared" si="108"/>
        <v>6.002083367780552E-06</v>
      </c>
      <c r="AE68" s="214">
        <f t="shared" si="21"/>
        <v>3508000</v>
      </c>
      <c r="AF68" s="174">
        <f aca="true" t="shared" si="109" ref="AF68:AO68">AF31</f>
        <v>35.53569883585274</v>
      </c>
      <c r="AG68" s="174">
        <f t="shared" si="109"/>
        <v>1.759193011675878</v>
      </c>
      <c r="AH68" s="174">
        <f t="shared" si="109"/>
        <v>9.259928050469732</v>
      </c>
      <c r="AI68" s="174">
        <f t="shared" si="109"/>
        <v>0.8312670274951951</v>
      </c>
      <c r="AJ68" s="421">
        <f t="shared" si="109"/>
        <v>0</v>
      </c>
      <c r="AK68" s="174">
        <f t="shared" si="109"/>
        <v>0</v>
      </c>
      <c r="AL68" s="174">
        <f t="shared" si="109"/>
        <v>0</v>
      </c>
      <c r="AM68" s="174">
        <f t="shared" si="109"/>
        <v>0</v>
      </c>
      <c r="AN68" s="174">
        <f t="shared" si="109"/>
        <v>0</v>
      </c>
      <c r="AO68" s="174">
        <f t="shared" si="109"/>
        <v>9.346009063023903</v>
      </c>
      <c r="AP68" s="174">
        <f t="shared" si="23"/>
        <v>7000</v>
      </c>
      <c r="AQ68" s="174">
        <f aca="true" t="shared" si="110" ref="AQ68:AZ68">AQ31</f>
        <v>0.005046433835911781</v>
      </c>
      <c r="AR68" s="174">
        <f t="shared" si="110"/>
        <v>0.0001254809001335242</v>
      </c>
      <c r="AS68" s="174">
        <f t="shared" si="110"/>
        <v>35.53065240201683</v>
      </c>
      <c r="AT68" s="174">
        <f t="shared" si="110"/>
        <v>1.759193011675878</v>
      </c>
      <c r="AU68" s="174">
        <f t="shared" si="110"/>
        <v>9.259928050469732</v>
      </c>
      <c r="AV68" s="215">
        <f t="shared" si="110"/>
        <v>0.8311415465950616</v>
      </c>
      <c r="AW68" s="174">
        <f t="shared" si="110"/>
        <v>37.62510333713606</v>
      </c>
      <c r="AX68" s="174">
        <f t="shared" si="110"/>
        <v>1.862771889650898</v>
      </c>
      <c r="AY68" s="174">
        <f t="shared" si="110"/>
        <v>9.777856102250931</v>
      </c>
      <c r="AZ68" s="215">
        <f t="shared" si="110"/>
        <v>0.8823029107060696</v>
      </c>
    </row>
    <row r="69" spans="1:52" ht="12">
      <c r="A69" s="169">
        <v>27</v>
      </c>
      <c r="B69" s="428">
        <v>2047</v>
      </c>
      <c r="C69" s="214">
        <f t="shared" si="25"/>
        <v>330000</v>
      </c>
      <c r="D69" s="174">
        <f t="shared" si="83"/>
        <v>3.3419152510206342</v>
      </c>
      <c r="E69" s="174">
        <f t="shared" si="83"/>
        <v>0.1654413490604274</v>
      </c>
      <c r="F69" s="174">
        <f t="shared" si="83"/>
        <v>0.8708396285708212</v>
      </c>
      <c r="G69" s="174">
        <f t="shared" si="83"/>
        <v>0.0781755825230591</v>
      </c>
      <c r="H69" s="421">
        <f t="shared" si="19"/>
        <v>103000</v>
      </c>
      <c r="I69" s="174">
        <f aca="true" t="shared" si="111" ref="I69:AD69">I32</f>
        <v>1.2476984169943421</v>
      </c>
      <c r="J69" s="174">
        <f t="shared" si="111"/>
        <v>0.061874034327744895</v>
      </c>
      <c r="K69" s="174">
        <f t="shared" si="111"/>
        <v>0.352965821513686</v>
      </c>
      <c r="L69" s="174">
        <f t="shared" si="111"/>
        <v>0.027020220495418867</v>
      </c>
      <c r="M69" s="174">
        <f t="shared" si="111"/>
        <v>2.094216834026292</v>
      </c>
      <c r="N69" s="174">
        <f t="shared" si="111"/>
        <v>0.1035673147326825</v>
      </c>
      <c r="O69" s="174">
        <f t="shared" si="111"/>
        <v>0.5178738070571351</v>
      </c>
      <c r="P69" s="215">
        <f t="shared" si="111"/>
        <v>0.05115536202764023</v>
      </c>
      <c r="Q69" s="499">
        <f t="shared" si="111"/>
        <v>53</v>
      </c>
      <c r="R69" s="174">
        <f t="shared" si="111"/>
        <v>0.0005369610388178817</v>
      </c>
      <c r="S69" s="174">
        <f t="shared" si="111"/>
        <v>2.6582229644449592E-05</v>
      </c>
      <c r="T69" s="174">
        <f t="shared" si="111"/>
        <v>0.00013992184615045444</v>
      </c>
      <c r="U69" s="174">
        <f t="shared" si="111"/>
        <v>1.2560833788036618E-05</v>
      </c>
      <c r="V69" s="501">
        <f t="shared" si="111"/>
        <v>25</v>
      </c>
      <c r="W69" s="174">
        <f t="shared" si="111"/>
        <v>0.00030285994587653014</v>
      </c>
      <c r="X69" s="174">
        <f t="shared" si="111"/>
        <v>1.5018987306888894E-05</v>
      </c>
      <c r="Y69" s="174">
        <f t="shared" si="111"/>
        <v>8.567712208645424E-05</v>
      </c>
      <c r="Z69" s="174">
        <f t="shared" si="111"/>
        <v>6.5587504202560665E-06</v>
      </c>
      <c r="AA69" s="174">
        <f t="shared" si="111"/>
        <v>0.00023410109294135157</v>
      </c>
      <c r="AB69" s="174">
        <f t="shared" si="111"/>
        <v>1.1563242337560698E-05</v>
      </c>
      <c r="AC69" s="174">
        <f t="shared" si="111"/>
        <v>5.4244724064000195E-05</v>
      </c>
      <c r="AD69" s="425">
        <f t="shared" si="111"/>
        <v>6.002083367780552E-06</v>
      </c>
      <c r="AE69" s="214">
        <f t="shared" si="21"/>
        <v>3508000</v>
      </c>
      <c r="AF69" s="174">
        <f aca="true" t="shared" si="112" ref="AF69:AO69">AF32</f>
        <v>35.53569883585274</v>
      </c>
      <c r="AG69" s="174">
        <f t="shared" si="112"/>
        <v>1.759193011675878</v>
      </c>
      <c r="AH69" s="174">
        <f t="shared" si="112"/>
        <v>9.259928050469732</v>
      </c>
      <c r="AI69" s="174">
        <f t="shared" si="112"/>
        <v>0.8312670274951951</v>
      </c>
      <c r="AJ69" s="421">
        <f t="shared" si="112"/>
        <v>0</v>
      </c>
      <c r="AK69" s="174">
        <f t="shared" si="112"/>
        <v>0</v>
      </c>
      <c r="AL69" s="174">
        <f t="shared" si="112"/>
        <v>0</v>
      </c>
      <c r="AM69" s="174">
        <f t="shared" si="112"/>
        <v>0</v>
      </c>
      <c r="AN69" s="174">
        <f t="shared" si="112"/>
        <v>0</v>
      </c>
      <c r="AO69" s="174">
        <f t="shared" si="112"/>
        <v>9.346009063023903</v>
      </c>
      <c r="AP69" s="174">
        <f t="shared" si="23"/>
        <v>7000</v>
      </c>
      <c r="AQ69" s="174">
        <f aca="true" t="shared" si="113" ref="AQ69:AZ69">AQ32</f>
        <v>0.005046433835911781</v>
      </c>
      <c r="AR69" s="174">
        <f t="shared" si="113"/>
        <v>0.0001254809001335242</v>
      </c>
      <c r="AS69" s="174">
        <f t="shared" si="113"/>
        <v>35.53065240201683</v>
      </c>
      <c r="AT69" s="174">
        <f t="shared" si="113"/>
        <v>1.759193011675878</v>
      </c>
      <c r="AU69" s="174">
        <f t="shared" si="113"/>
        <v>9.259928050469732</v>
      </c>
      <c r="AV69" s="215">
        <f t="shared" si="113"/>
        <v>0.8311415465950616</v>
      </c>
      <c r="AW69" s="174">
        <f t="shared" si="113"/>
        <v>37.62510333713606</v>
      </c>
      <c r="AX69" s="174">
        <f t="shared" si="113"/>
        <v>1.862771889650898</v>
      </c>
      <c r="AY69" s="174">
        <f t="shared" si="113"/>
        <v>9.777856102250931</v>
      </c>
      <c r="AZ69" s="215">
        <f t="shared" si="113"/>
        <v>0.8823029107060696</v>
      </c>
    </row>
    <row r="70" spans="1:52" ht="12">
      <c r="A70" s="169">
        <v>28</v>
      </c>
      <c r="B70" s="428">
        <v>2048</v>
      </c>
      <c r="C70" s="214">
        <f t="shared" si="25"/>
        <v>330000</v>
      </c>
      <c r="D70" s="174">
        <f t="shared" si="83"/>
        <v>3.3419152510206342</v>
      </c>
      <c r="E70" s="174">
        <f t="shared" si="83"/>
        <v>0.1654413490604274</v>
      </c>
      <c r="F70" s="174">
        <f t="shared" si="83"/>
        <v>0.8708396285708212</v>
      </c>
      <c r="G70" s="174">
        <f t="shared" si="83"/>
        <v>0.0781755825230591</v>
      </c>
      <c r="H70" s="421">
        <f t="shared" si="19"/>
        <v>103000</v>
      </c>
      <c r="I70" s="174">
        <f aca="true" t="shared" si="114" ref="I70:AD70">I33</f>
        <v>1.2476984169943421</v>
      </c>
      <c r="J70" s="174">
        <f t="shared" si="114"/>
        <v>0.061874034327744895</v>
      </c>
      <c r="K70" s="174">
        <f t="shared" si="114"/>
        <v>0.352965821513686</v>
      </c>
      <c r="L70" s="174">
        <f t="shared" si="114"/>
        <v>0.027020220495418867</v>
      </c>
      <c r="M70" s="174">
        <f t="shared" si="114"/>
        <v>2.094216834026292</v>
      </c>
      <c r="N70" s="174">
        <f t="shared" si="114"/>
        <v>0.1035673147326825</v>
      </c>
      <c r="O70" s="174">
        <f t="shared" si="114"/>
        <v>0.5178738070571351</v>
      </c>
      <c r="P70" s="215">
        <f t="shared" si="114"/>
        <v>0.05115536202764023</v>
      </c>
      <c r="Q70" s="499">
        <f t="shared" si="114"/>
        <v>53</v>
      </c>
      <c r="R70" s="174">
        <f t="shared" si="114"/>
        <v>0.0005369610388178817</v>
      </c>
      <c r="S70" s="174">
        <f t="shared" si="114"/>
        <v>2.6582229644449592E-05</v>
      </c>
      <c r="T70" s="174">
        <f t="shared" si="114"/>
        <v>0.00013992184615045444</v>
      </c>
      <c r="U70" s="174">
        <f t="shared" si="114"/>
        <v>1.2560833788036618E-05</v>
      </c>
      <c r="V70" s="501">
        <f t="shared" si="114"/>
        <v>25</v>
      </c>
      <c r="W70" s="174">
        <f t="shared" si="114"/>
        <v>0.00030285994587653014</v>
      </c>
      <c r="X70" s="174">
        <f t="shared" si="114"/>
        <v>1.5018987306888894E-05</v>
      </c>
      <c r="Y70" s="174">
        <f t="shared" si="114"/>
        <v>8.567712208645424E-05</v>
      </c>
      <c r="Z70" s="174">
        <f t="shared" si="114"/>
        <v>6.5587504202560665E-06</v>
      </c>
      <c r="AA70" s="174">
        <f t="shared" si="114"/>
        <v>0.00023410109294135157</v>
      </c>
      <c r="AB70" s="174">
        <f t="shared" si="114"/>
        <v>1.1563242337560698E-05</v>
      </c>
      <c r="AC70" s="174">
        <f t="shared" si="114"/>
        <v>5.4244724064000195E-05</v>
      </c>
      <c r="AD70" s="425">
        <f t="shared" si="114"/>
        <v>6.002083367780552E-06</v>
      </c>
      <c r="AE70" s="214">
        <f t="shared" si="21"/>
        <v>3508000</v>
      </c>
      <c r="AF70" s="174">
        <f aca="true" t="shared" si="115" ref="AF70:AO70">AF33</f>
        <v>35.53569883585274</v>
      </c>
      <c r="AG70" s="174">
        <f t="shared" si="115"/>
        <v>1.759193011675878</v>
      </c>
      <c r="AH70" s="174">
        <f t="shared" si="115"/>
        <v>9.259928050469732</v>
      </c>
      <c r="AI70" s="174">
        <f t="shared" si="115"/>
        <v>0.8312670274951951</v>
      </c>
      <c r="AJ70" s="421">
        <f t="shared" si="115"/>
        <v>0</v>
      </c>
      <c r="AK70" s="174">
        <f t="shared" si="115"/>
        <v>0</v>
      </c>
      <c r="AL70" s="174">
        <f t="shared" si="115"/>
        <v>0</v>
      </c>
      <c r="AM70" s="174">
        <f t="shared" si="115"/>
        <v>0</v>
      </c>
      <c r="AN70" s="174">
        <f t="shared" si="115"/>
        <v>0</v>
      </c>
      <c r="AO70" s="174">
        <f t="shared" si="115"/>
        <v>9.346009063023903</v>
      </c>
      <c r="AP70" s="174">
        <f t="shared" si="23"/>
        <v>7000</v>
      </c>
      <c r="AQ70" s="174">
        <f aca="true" t="shared" si="116" ref="AQ70:AZ70">AQ33</f>
        <v>0.005046433835911781</v>
      </c>
      <c r="AR70" s="174">
        <f t="shared" si="116"/>
        <v>0.0001254809001335242</v>
      </c>
      <c r="AS70" s="174">
        <f t="shared" si="116"/>
        <v>35.53065240201683</v>
      </c>
      <c r="AT70" s="174">
        <f t="shared" si="116"/>
        <v>1.759193011675878</v>
      </c>
      <c r="AU70" s="174">
        <f t="shared" si="116"/>
        <v>9.259928050469732</v>
      </c>
      <c r="AV70" s="215">
        <f t="shared" si="116"/>
        <v>0.8311415465950616</v>
      </c>
      <c r="AW70" s="174">
        <f t="shared" si="116"/>
        <v>37.62510333713606</v>
      </c>
      <c r="AX70" s="174">
        <f t="shared" si="116"/>
        <v>1.862771889650898</v>
      </c>
      <c r="AY70" s="174">
        <f t="shared" si="116"/>
        <v>9.777856102250931</v>
      </c>
      <c r="AZ70" s="215">
        <f t="shared" si="116"/>
        <v>0.8823029107060696</v>
      </c>
    </row>
    <row r="71" spans="1:52" ht="12">
      <c r="A71" s="169">
        <v>29</v>
      </c>
      <c r="B71" s="428">
        <v>2049</v>
      </c>
      <c r="C71" s="214">
        <f t="shared" si="25"/>
        <v>330000</v>
      </c>
      <c r="D71" s="174">
        <f t="shared" si="83"/>
        <v>3.3419152510206342</v>
      </c>
      <c r="E71" s="174">
        <f t="shared" si="83"/>
        <v>0.1654413490604274</v>
      </c>
      <c r="F71" s="174">
        <f t="shared" si="83"/>
        <v>0.8708396285708212</v>
      </c>
      <c r="G71" s="174">
        <f t="shared" si="83"/>
        <v>0.0781755825230591</v>
      </c>
      <c r="H71" s="421">
        <f t="shared" si="19"/>
        <v>103000</v>
      </c>
      <c r="I71" s="174">
        <f aca="true" t="shared" si="117" ref="I71:AD71">I34</f>
        <v>1.2476984169943421</v>
      </c>
      <c r="J71" s="174">
        <f t="shared" si="117"/>
        <v>0.061874034327744895</v>
      </c>
      <c r="K71" s="174">
        <f t="shared" si="117"/>
        <v>0.352965821513686</v>
      </c>
      <c r="L71" s="174">
        <f t="shared" si="117"/>
        <v>0.027020220495418867</v>
      </c>
      <c r="M71" s="174">
        <f t="shared" si="117"/>
        <v>2.094216834026292</v>
      </c>
      <c r="N71" s="174">
        <f t="shared" si="117"/>
        <v>0.1035673147326825</v>
      </c>
      <c r="O71" s="174">
        <f t="shared" si="117"/>
        <v>0.5178738070571351</v>
      </c>
      <c r="P71" s="215">
        <f t="shared" si="117"/>
        <v>0.05115536202764023</v>
      </c>
      <c r="Q71" s="499">
        <f t="shared" si="117"/>
        <v>53</v>
      </c>
      <c r="R71" s="174">
        <f t="shared" si="117"/>
        <v>0.0005369610388178817</v>
      </c>
      <c r="S71" s="174">
        <f t="shared" si="117"/>
        <v>2.6582229644449592E-05</v>
      </c>
      <c r="T71" s="174">
        <f t="shared" si="117"/>
        <v>0.00013992184615045444</v>
      </c>
      <c r="U71" s="174">
        <f t="shared" si="117"/>
        <v>1.2560833788036618E-05</v>
      </c>
      <c r="V71" s="501">
        <f t="shared" si="117"/>
        <v>25</v>
      </c>
      <c r="W71" s="174">
        <f t="shared" si="117"/>
        <v>0.00030285994587653014</v>
      </c>
      <c r="X71" s="174">
        <f t="shared" si="117"/>
        <v>1.5018987306888894E-05</v>
      </c>
      <c r="Y71" s="174">
        <f t="shared" si="117"/>
        <v>8.567712208645424E-05</v>
      </c>
      <c r="Z71" s="174">
        <f t="shared" si="117"/>
        <v>6.5587504202560665E-06</v>
      </c>
      <c r="AA71" s="174">
        <f t="shared" si="117"/>
        <v>0.00023410109294135157</v>
      </c>
      <c r="AB71" s="174">
        <f t="shared" si="117"/>
        <v>1.1563242337560698E-05</v>
      </c>
      <c r="AC71" s="174">
        <f t="shared" si="117"/>
        <v>5.4244724064000195E-05</v>
      </c>
      <c r="AD71" s="425">
        <f t="shared" si="117"/>
        <v>6.002083367780552E-06</v>
      </c>
      <c r="AE71" s="214">
        <f t="shared" si="21"/>
        <v>3508000</v>
      </c>
      <c r="AF71" s="174">
        <f aca="true" t="shared" si="118" ref="AF71:AO71">AF34</f>
        <v>35.53569883585274</v>
      </c>
      <c r="AG71" s="174">
        <f t="shared" si="118"/>
        <v>1.759193011675878</v>
      </c>
      <c r="AH71" s="174">
        <f t="shared" si="118"/>
        <v>9.259928050469732</v>
      </c>
      <c r="AI71" s="174">
        <f t="shared" si="118"/>
        <v>0.8312670274951951</v>
      </c>
      <c r="AJ71" s="421">
        <f t="shared" si="118"/>
        <v>0</v>
      </c>
      <c r="AK71" s="174">
        <f t="shared" si="118"/>
        <v>0</v>
      </c>
      <c r="AL71" s="174">
        <f t="shared" si="118"/>
        <v>0</v>
      </c>
      <c r="AM71" s="174">
        <f t="shared" si="118"/>
        <v>0</v>
      </c>
      <c r="AN71" s="174">
        <f t="shared" si="118"/>
        <v>0</v>
      </c>
      <c r="AO71" s="174">
        <f t="shared" si="118"/>
        <v>9.346009063023903</v>
      </c>
      <c r="AP71" s="174">
        <f t="shared" si="23"/>
        <v>7000</v>
      </c>
      <c r="AQ71" s="174">
        <f aca="true" t="shared" si="119" ref="AQ71:AZ71">AQ34</f>
        <v>0.005046433835911781</v>
      </c>
      <c r="AR71" s="174">
        <f t="shared" si="119"/>
        <v>0.0001254809001335242</v>
      </c>
      <c r="AS71" s="174">
        <f t="shared" si="119"/>
        <v>35.53065240201683</v>
      </c>
      <c r="AT71" s="174">
        <f t="shared" si="119"/>
        <v>1.759193011675878</v>
      </c>
      <c r="AU71" s="174">
        <f t="shared" si="119"/>
        <v>9.259928050469732</v>
      </c>
      <c r="AV71" s="215">
        <f t="shared" si="119"/>
        <v>0.8311415465950616</v>
      </c>
      <c r="AW71" s="174">
        <f t="shared" si="119"/>
        <v>37.62510333713606</v>
      </c>
      <c r="AX71" s="174">
        <f t="shared" si="119"/>
        <v>1.862771889650898</v>
      </c>
      <c r="AY71" s="174">
        <f t="shared" si="119"/>
        <v>9.777856102250931</v>
      </c>
      <c r="AZ71" s="215">
        <f t="shared" si="119"/>
        <v>0.8823029107060696</v>
      </c>
    </row>
    <row r="72" spans="1:52" ht="12">
      <c r="A72" s="469">
        <v>30</v>
      </c>
      <c r="B72" s="473">
        <v>2050</v>
      </c>
      <c r="C72" s="214">
        <f t="shared" si="25"/>
        <v>330000</v>
      </c>
      <c r="D72" s="174">
        <f t="shared" si="83"/>
        <v>3.3419152510206342</v>
      </c>
      <c r="E72" s="174">
        <f t="shared" si="83"/>
        <v>0.1654413490604274</v>
      </c>
      <c r="F72" s="174">
        <f t="shared" si="83"/>
        <v>0.8708396285708212</v>
      </c>
      <c r="G72" s="174">
        <f t="shared" si="83"/>
        <v>0.0781755825230591</v>
      </c>
      <c r="H72" s="421">
        <f t="shared" si="19"/>
        <v>103000</v>
      </c>
      <c r="I72" s="174">
        <f aca="true" t="shared" si="120" ref="I72:AD72">I35</f>
        <v>1.2476984169943421</v>
      </c>
      <c r="J72" s="174">
        <f t="shared" si="120"/>
        <v>0.061874034327744895</v>
      </c>
      <c r="K72" s="174">
        <f t="shared" si="120"/>
        <v>0.352965821513686</v>
      </c>
      <c r="L72" s="174">
        <f t="shared" si="120"/>
        <v>0.027020220495418867</v>
      </c>
      <c r="M72" s="174">
        <f t="shared" si="120"/>
        <v>2.094216834026292</v>
      </c>
      <c r="N72" s="174">
        <f t="shared" si="120"/>
        <v>0.1035673147326825</v>
      </c>
      <c r="O72" s="174">
        <f t="shared" si="120"/>
        <v>0.5178738070571351</v>
      </c>
      <c r="P72" s="215">
        <f t="shared" si="120"/>
        <v>0.05115536202764023</v>
      </c>
      <c r="Q72" s="499">
        <f t="shared" si="120"/>
        <v>53</v>
      </c>
      <c r="R72" s="174">
        <f t="shared" si="120"/>
        <v>0.0005369610388178817</v>
      </c>
      <c r="S72" s="174">
        <f t="shared" si="120"/>
        <v>2.6582229644449592E-05</v>
      </c>
      <c r="T72" s="174">
        <f t="shared" si="120"/>
        <v>0.00013992184615045444</v>
      </c>
      <c r="U72" s="174">
        <f t="shared" si="120"/>
        <v>1.2560833788036618E-05</v>
      </c>
      <c r="V72" s="501">
        <f t="shared" si="120"/>
        <v>25</v>
      </c>
      <c r="W72" s="174">
        <f t="shared" si="120"/>
        <v>0.00030285994587653014</v>
      </c>
      <c r="X72" s="174">
        <f t="shared" si="120"/>
        <v>1.5018987306888894E-05</v>
      </c>
      <c r="Y72" s="174">
        <f t="shared" si="120"/>
        <v>8.567712208645424E-05</v>
      </c>
      <c r="Z72" s="174">
        <f t="shared" si="120"/>
        <v>6.5587504202560665E-06</v>
      </c>
      <c r="AA72" s="174">
        <f t="shared" si="120"/>
        <v>0.00023410109294135157</v>
      </c>
      <c r="AB72" s="174">
        <f t="shared" si="120"/>
        <v>1.1563242337560698E-05</v>
      </c>
      <c r="AC72" s="174">
        <f t="shared" si="120"/>
        <v>5.4244724064000195E-05</v>
      </c>
      <c r="AD72" s="425">
        <f t="shared" si="120"/>
        <v>6.002083367780552E-06</v>
      </c>
      <c r="AE72" s="214">
        <f t="shared" si="21"/>
        <v>3508000</v>
      </c>
      <c r="AF72" s="174">
        <f aca="true" t="shared" si="121" ref="AF72:AO72">AF35</f>
        <v>35.53569883585274</v>
      </c>
      <c r="AG72" s="174">
        <f t="shared" si="121"/>
        <v>1.759193011675878</v>
      </c>
      <c r="AH72" s="174">
        <f t="shared" si="121"/>
        <v>9.259928050469732</v>
      </c>
      <c r="AI72" s="174">
        <f t="shared" si="121"/>
        <v>0.8312670274951951</v>
      </c>
      <c r="AJ72" s="421">
        <f t="shared" si="121"/>
        <v>37.529411764705884</v>
      </c>
      <c r="AK72" s="174">
        <f t="shared" si="121"/>
        <v>0.00038022324391321705</v>
      </c>
      <c r="AL72" s="174">
        <f t="shared" si="121"/>
        <v>1.8822932866990944E-05</v>
      </c>
      <c r="AM72" s="174">
        <f t="shared" si="121"/>
        <v>9.907895432185342E-05</v>
      </c>
      <c r="AN72" s="174">
        <f t="shared" si="121"/>
        <v>8.894352893193522E-06</v>
      </c>
      <c r="AO72" s="174">
        <f t="shared" si="121"/>
        <v>9.346009063023903</v>
      </c>
      <c r="AP72" s="174">
        <f t="shared" si="23"/>
        <v>7000</v>
      </c>
      <c r="AQ72" s="174">
        <f aca="true" t="shared" si="122" ref="AQ72:AZ72">AQ35</f>
        <v>0.005046433835911781</v>
      </c>
      <c r="AR72" s="174">
        <f t="shared" si="122"/>
        <v>0.0001254809001335242</v>
      </c>
      <c r="AS72" s="174">
        <f t="shared" si="122"/>
        <v>35.53027217877291</v>
      </c>
      <c r="AT72" s="174">
        <f t="shared" si="122"/>
        <v>1.759174188743011</v>
      </c>
      <c r="AU72" s="174">
        <f t="shared" si="122"/>
        <v>9.25982897151541</v>
      </c>
      <c r="AV72" s="215">
        <f t="shared" si="122"/>
        <v>0.8311326522421684</v>
      </c>
      <c r="AW72" s="174">
        <f t="shared" si="122"/>
        <v>37.624723113892145</v>
      </c>
      <c r="AX72" s="174">
        <f t="shared" si="122"/>
        <v>1.862753066718031</v>
      </c>
      <c r="AY72" s="174">
        <f t="shared" si="122"/>
        <v>9.777757023296608</v>
      </c>
      <c r="AZ72" s="215">
        <f t="shared" si="122"/>
        <v>0.8822940163531764</v>
      </c>
    </row>
    <row r="73" spans="1:52" ht="12.75" thickBot="1">
      <c r="A73" s="616" t="s">
        <v>0</v>
      </c>
      <c r="B73" s="617"/>
      <c r="C73" s="216">
        <f>SUM(C40:C72)</f>
        <v>10739000</v>
      </c>
      <c r="D73" s="217">
        <f t="shared" si="83"/>
        <v>108.75736459578644</v>
      </c>
      <c r="E73" s="217">
        <f t="shared" si="83"/>
        <v>5.384027950286448</v>
      </c>
      <c r="F73" s="217">
        <f t="shared" si="83"/>
        <v>28.340103166892412</v>
      </c>
      <c r="G73" s="217">
        <f t="shared" si="83"/>
        <v>2.5441011193661245</v>
      </c>
      <c r="H73" s="217">
        <f>SUM(H40:H72)</f>
        <v>3929000</v>
      </c>
      <c r="I73" s="217">
        <f aca="true" t="shared" si="123" ref="I73:AD73">I36</f>
        <v>45.93085957499759</v>
      </c>
      <c r="J73" s="217">
        <f t="shared" si="123"/>
        <v>2.2770085083059777</v>
      </c>
      <c r="K73" s="217">
        <f t="shared" si="123"/>
        <v>12.80388895517838</v>
      </c>
      <c r="L73" s="217">
        <f t="shared" si="123"/>
        <v>1.0094402585369189</v>
      </c>
      <c r="M73" s="217">
        <f t="shared" si="123"/>
        <v>62.82650502078874</v>
      </c>
      <c r="N73" s="217">
        <f t="shared" si="123"/>
        <v>3.107019441980476</v>
      </c>
      <c r="O73" s="217">
        <f t="shared" si="123"/>
        <v>15.536214211714064</v>
      </c>
      <c r="P73" s="218">
        <f t="shared" si="123"/>
        <v>1.5346608608292065</v>
      </c>
      <c r="Q73" s="500">
        <f t="shared" si="123"/>
        <v>1749</v>
      </c>
      <c r="R73" s="217">
        <f t="shared" si="123"/>
        <v>0.0177197142809901</v>
      </c>
      <c r="S73" s="217">
        <f t="shared" si="123"/>
        <v>0.000877213578266836</v>
      </c>
      <c r="T73" s="217">
        <f t="shared" si="123"/>
        <v>0.004617420922964996</v>
      </c>
      <c r="U73" s="217">
        <f t="shared" si="123"/>
        <v>0.0004145075150052082</v>
      </c>
      <c r="V73" s="502">
        <f t="shared" si="123"/>
        <v>909</v>
      </c>
      <c r="W73" s="217">
        <f t="shared" si="123"/>
        <v>0.010801783539189914</v>
      </c>
      <c r="X73" s="217">
        <f t="shared" si="123"/>
        <v>0.0005355743315861707</v>
      </c>
      <c r="Y73" s="217">
        <f t="shared" si="123"/>
        <v>0.00303179285371782</v>
      </c>
      <c r="Z73" s="217">
        <f t="shared" si="123"/>
        <v>0.00023578873107469792</v>
      </c>
      <c r="AA73" s="217">
        <f t="shared" si="123"/>
        <v>0.007023032788240544</v>
      </c>
      <c r="AB73" s="217">
        <f t="shared" si="123"/>
        <v>0.00034163924668066594</v>
      </c>
      <c r="AC73" s="217">
        <f t="shared" si="123"/>
        <v>0.0015856280692471767</v>
      </c>
      <c r="AD73" s="426">
        <f t="shared" si="123"/>
        <v>0.00017871878393051023</v>
      </c>
      <c r="AE73" s="216">
        <f t="shared" si="21"/>
        <v>105225000</v>
      </c>
      <c r="AF73" s="217">
        <f aca="true" t="shared" si="124" ref="AF73:AO73">AF36</f>
        <v>1066.0709650755819</v>
      </c>
      <c r="AG73" s="217">
        <f t="shared" si="124"/>
        <v>52.77579035027633</v>
      </c>
      <c r="AH73" s="217">
        <f t="shared" si="124"/>
        <v>277.7978415140921</v>
      </c>
      <c r="AI73" s="217">
        <f t="shared" si="124"/>
        <v>24.93801082485585</v>
      </c>
      <c r="AJ73" s="217">
        <f t="shared" si="124"/>
        <v>37.529411764705884</v>
      </c>
      <c r="AK73" s="217">
        <f t="shared" si="124"/>
        <v>0.00038022324391321705</v>
      </c>
      <c r="AL73" s="217">
        <f t="shared" si="124"/>
        <v>1.8822932866990944E-05</v>
      </c>
      <c r="AM73" s="217">
        <f t="shared" si="124"/>
        <v>9.907895432185342E-05</v>
      </c>
      <c r="AN73" s="217">
        <f t="shared" si="124"/>
        <v>8.894352893193522E-06</v>
      </c>
      <c r="AO73" s="217">
        <f t="shared" si="124"/>
        <v>280.3802718907171</v>
      </c>
      <c r="AP73" s="217">
        <f t="shared" si="23"/>
        <v>210000</v>
      </c>
      <c r="AQ73" s="217">
        <f aca="true" t="shared" si="125" ref="AQ73:AZ73">AQ36</f>
        <v>0.15139301507735345</v>
      </c>
      <c r="AR73" s="217">
        <f t="shared" si="125"/>
        <v>0.003764427004005723</v>
      </c>
      <c r="AS73" s="217">
        <f t="shared" si="125"/>
        <v>1065.9191918372608</v>
      </c>
      <c r="AT73" s="217">
        <f t="shared" si="125"/>
        <v>52.775771527343466</v>
      </c>
      <c r="AU73" s="217">
        <f t="shared" si="125"/>
        <v>277.79774243513776</v>
      </c>
      <c r="AV73" s="218">
        <f t="shared" si="125"/>
        <v>24.934237503498967</v>
      </c>
      <c r="AW73" s="217">
        <f t="shared" si="125"/>
        <v>1128.7527198908372</v>
      </c>
      <c r="AX73" s="217">
        <f t="shared" si="125"/>
        <v>55.88313260857065</v>
      </c>
      <c r="AY73" s="217">
        <f t="shared" si="125"/>
        <v>293.3355422749209</v>
      </c>
      <c r="AZ73" s="218">
        <f t="shared" si="125"/>
        <v>26.469077083112094</v>
      </c>
    </row>
  </sheetData>
  <sheetProtection/>
  <mergeCells count="14">
    <mergeCell ref="A73:B73"/>
    <mergeCell ref="A38:A39"/>
    <mergeCell ref="B38:B39"/>
    <mergeCell ref="C38:P38"/>
    <mergeCell ref="Q38:AD38"/>
    <mergeCell ref="AE38:AV38"/>
    <mergeCell ref="AW38:AZ38"/>
    <mergeCell ref="AW1:AZ1"/>
    <mergeCell ref="A36:B36"/>
    <mergeCell ref="C1:P1"/>
    <mergeCell ref="Q1:AD1"/>
    <mergeCell ref="AE1:AV1"/>
    <mergeCell ref="B1:B2"/>
    <mergeCell ref="A1:A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AB82"/>
  <sheetViews>
    <sheetView zoomScaleSheetLayoutView="80" zoomScalePageLayoutView="0" workbookViewId="0" topLeftCell="A1">
      <selection activeCell="K35" sqref="K35"/>
    </sheetView>
  </sheetViews>
  <sheetFormatPr defaultColWidth="9.140625" defaultRowHeight="12.75"/>
  <cols>
    <col min="1" max="2" width="9.140625" style="249" customWidth="1"/>
    <col min="3" max="17" width="15.7109375" style="249" customWidth="1"/>
    <col min="18" max="16384" width="9.140625" style="249" customWidth="1"/>
  </cols>
  <sheetData>
    <row r="1" ht="12.75" thickBot="1"/>
    <row r="2" spans="1:17" ht="15" customHeight="1">
      <c r="A2" s="641" t="s">
        <v>100</v>
      </c>
      <c r="B2" s="642"/>
      <c r="C2" s="642"/>
      <c r="D2" s="642"/>
      <c r="E2" s="641" t="s">
        <v>101</v>
      </c>
      <c r="F2" s="642"/>
      <c r="G2" s="642"/>
      <c r="H2" s="642"/>
      <c r="I2" s="642"/>
      <c r="J2" s="639"/>
      <c r="K2" s="641" t="s">
        <v>102</v>
      </c>
      <c r="L2" s="642"/>
      <c r="M2" s="642"/>
      <c r="N2" s="642"/>
      <c r="O2" s="642"/>
      <c r="P2" s="639"/>
      <c r="Q2" s="639" t="s">
        <v>103</v>
      </c>
    </row>
    <row r="3" spans="1:17" ht="24">
      <c r="A3" s="258" t="s">
        <v>1</v>
      </c>
      <c r="B3" s="259" t="s">
        <v>90</v>
      </c>
      <c r="C3" s="259" t="s">
        <v>91</v>
      </c>
      <c r="D3" s="260" t="s">
        <v>92</v>
      </c>
      <c r="E3" s="258" t="s">
        <v>93</v>
      </c>
      <c r="F3" s="259" t="s">
        <v>94</v>
      </c>
      <c r="G3" s="259" t="s">
        <v>95</v>
      </c>
      <c r="H3" s="259" t="s">
        <v>96</v>
      </c>
      <c r="I3" s="259" t="s">
        <v>97</v>
      </c>
      <c r="J3" s="261" t="s">
        <v>98</v>
      </c>
      <c r="K3" s="258" t="s">
        <v>93</v>
      </c>
      <c r="L3" s="259" t="s">
        <v>94</v>
      </c>
      <c r="M3" s="259" t="s">
        <v>95</v>
      </c>
      <c r="N3" s="259" t="s">
        <v>96</v>
      </c>
      <c r="O3" s="259" t="s">
        <v>97</v>
      </c>
      <c r="P3" s="261" t="s">
        <v>98</v>
      </c>
      <c r="Q3" s="640"/>
    </row>
    <row r="4" spans="1:17" s="535" customFormat="1" ht="12">
      <c r="A4" s="415">
        <v>2016</v>
      </c>
      <c r="B4" s="110" t="s">
        <v>74</v>
      </c>
      <c r="C4" s="527">
        <f>Inputs!B44/Inputs!B45</f>
        <v>3.0219350804980983E-07</v>
      </c>
      <c r="D4" s="528">
        <f>Inputs!B43/Inputs!B45</f>
        <v>1.4633807464526998E-08</v>
      </c>
      <c r="E4" s="529">
        <f>C4*0.62728</f>
        <v>1.895599437294847E-07</v>
      </c>
      <c r="F4" s="530">
        <f>C4*0.104</f>
        <v>3.142812483718022E-08</v>
      </c>
      <c r="G4" s="530">
        <f>C4*0.03858</f>
        <v>1.1658625540561663E-08</v>
      </c>
      <c r="H4" s="530">
        <f>C4*0.00442</f>
        <v>1.3356953055801596E-09</v>
      </c>
      <c r="I4" s="530">
        <f>C4*0.01034</f>
        <v>3.124680873235034E-09</v>
      </c>
      <c r="J4" s="531">
        <v>0</v>
      </c>
      <c r="K4" s="532">
        <v>0</v>
      </c>
      <c r="L4" s="533">
        <v>0</v>
      </c>
      <c r="M4" s="533">
        <v>0</v>
      </c>
      <c r="N4" s="533">
        <v>0</v>
      </c>
      <c r="O4" s="533">
        <v>0</v>
      </c>
      <c r="P4" s="534">
        <f>D4*1</f>
        <v>1.4633807464526998E-08</v>
      </c>
      <c r="Q4" s="640"/>
    </row>
    <row r="5" spans="1:17" ht="12.75" thickBot="1">
      <c r="A5" s="262" t="s">
        <v>99</v>
      </c>
      <c r="B5" s="263"/>
      <c r="C5" s="263"/>
      <c r="D5" s="264"/>
      <c r="E5" s="265">
        <f>E4*Inputs!$B$51</f>
        <v>0.005459326379409159</v>
      </c>
      <c r="F5" s="266">
        <f>F4*Inputs!$B$52</f>
        <v>0.014180369926535716</v>
      </c>
      <c r="G5" s="266">
        <f>G4*Inputs!$B$53</f>
        <v>0.011751894544886156</v>
      </c>
      <c r="H5" s="266">
        <f>H4*Inputs!$B$54</f>
        <v>0.0034108315323294956</v>
      </c>
      <c r="I5" s="266">
        <f>I4*Inputs!$B$55</f>
        <v>0.0177881832751524</v>
      </c>
      <c r="J5" s="267">
        <f>J4*Inputs!$B$56</f>
        <v>0</v>
      </c>
      <c r="K5" s="265">
        <f>K4*Inputs!$B$51</f>
        <v>0</v>
      </c>
      <c r="L5" s="266">
        <f>L4*Inputs!$B$52</f>
        <v>0</v>
      </c>
      <c r="M5" s="266">
        <f>M4*Inputs!$B$53</f>
        <v>0</v>
      </c>
      <c r="N5" s="266">
        <f>N4*Inputs!$B$54</f>
        <v>0</v>
      </c>
      <c r="O5" s="266">
        <f>O4*Inputs!$B$55</f>
        <v>0</v>
      </c>
      <c r="P5" s="267">
        <f>P4*Inputs!$B$56</f>
        <v>0.1404845516594592</v>
      </c>
      <c r="Q5" s="268">
        <f>SUM(E5:P5)</f>
        <v>0.1930751573177721</v>
      </c>
    </row>
    <row r="6" spans="1:17" ht="12.75" thickBot="1">
      <c r="A6" s="278"/>
      <c r="B6" s="278"/>
      <c r="C6" s="278"/>
      <c r="D6" s="332"/>
      <c r="E6" s="507"/>
      <c r="F6" s="507"/>
      <c r="G6" s="507"/>
      <c r="H6" s="507"/>
      <c r="I6" s="507"/>
      <c r="J6" s="507"/>
      <c r="K6" s="507"/>
      <c r="L6" s="507"/>
      <c r="M6" s="507"/>
      <c r="N6" s="507"/>
      <c r="O6" s="507"/>
      <c r="P6" s="507"/>
      <c r="Q6" s="507"/>
    </row>
    <row r="7" spans="1:17" ht="15" customHeight="1">
      <c r="A7" s="641" t="s">
        <v>483</v>
      </c>
      <c r="B7" s="642"/>
      <c r="C7" s="642"/>
      <c r="D7" s="642"/>
      <c r="E7" s="641" t="s">
        <v>101</v>
      </c>
      <c r="F7" s="642"/>
      <c r="G7" s="642"/>
      <c r="H7" s="642"/>
      <c r="I7" s="642"/>
      <c r="J7" s="639"/>
      <c r="K7" s="641" t="s">
        <v>102</v>
      </c>
      <c r="L7" s="642"/>
      <c r="M7" s="642"/>
      <c r="N7" s="642"/>
      <c r="O7" s="642"/>
      <c r="P7" s="639"/>
      <c r="Q7" s="639" t="s">
        <v>103</v>
      </c>
    </row>
    <row r="8" spans="1:17" ht="24">
      <c r="A8" s="487" t="s">
        <v>1</v>
      </c>
      <c r="B8" s="259" t="s">
        <v>90</v>
      </c>
      <c r="C8" s="259" t="s">
        <v>91</v>
      </c>
      <c r="D8" s="260" t="s">
        <v>92</v>
      </c>
      <c r="E8" s="487" t="s">
        <v>93</v>
      </c>
      <c r="F8" s="259" t="s">
        <v>94</v>
      </c>
      <c r="G8" s="259" t="s">
        <v>95</v>
      </c>
      <c r="H8" s="259" t="s">
        <v>96</v>
      </c>
      <c r="I8" s="259" t="s">
        <v>97</v>
      </c>
      <c r="J8" s="261" t="s">
        <v>98</v>
      </c>
      <c r="K8" s="487" t="s">
        <v>93</v>
      </c>
      <c r="L8" s="259" t="s">
        <v>94</v>
      </c>
      <c r="M8" s="259" t="s">
        <v>95</v>
      </c>
      <c r="N8" s="259" t="s">
        <v>96</v>
      </c>
      <c r="O8" s="259" t="s">
        <v>97</v>
      </c>
      <c r="P8" s="261" t="s">
        <v>98</v>
      </c>
      <c r="Q8" s="640"/>
    </row>
    <row r="9" spans="1:17" s="535" customFormat="1" ht="12">
      <c r="A9" s="415">
        <v>2013</v>
      </c>
      <c r="B9" s="110" t="s">
        <v>74</v>
      </c>
      <c r="C9" s="527">
        <f>Inputs!$B$48/100000000</f>
        <v>3.4899999999999996E-07</v>
      </c>
      <c r="D9" s="528">
        <f>Inputs!$B$49/100000000</f>
        <v>1.86E-08</v>
      </c>
      <c r="E9" s="529">
        <f>C9*0.62728</f>
        <v>2.1892071999999997E-07</v>
      </c>
      <c r="F9" s="530">
        <f>C9*0.104</f>
        <v>3.6295999999999996E-08</v>
      </c>
      <c r="G9" s="530">
        <f>C9*0.03858</f>
        <v>1.3464419999999999E-08</v>
      </c>
      <c r="H9" s="530">
        <f>C9*0.00442</f>
        <v>1.5425799999999999E-09</v>
      </c>
      <c r="I9" s="530">
        <f>C9*0.01034</f>
        <v>3.60866E-09</v>
      </c>
      <c r="J9" s="531">
        <v>0</v>
      </c>
      <c r="K9" s="532">
        <v>0</v>
      </c>
      <c r="L9" s="533">
        <v>0</v>
      </c>
      <c r="M9" s="533">
        <v>0</v>
      </c>
      <c r="N9" s="533">
        <v>0</v>
      </c>
      <c r="O9" s="533">
        <v>0</v>
      </c>
      <c r="P9" s="534">
        <f>D9*1</f>
        <v>1.86E-08</v>
      </c>
      <c r="Q9" s="640"/>
    </row>
    <row r="10" spans="1:17" ht="12.75" thickBot="1">
      <c r="A10" s="262" t="s">
        <v>99</v>
      </c>
      <c r="B10" s="263"/>
      <c r="C10" s="263"/>
      <c r="D10" s="264"/>
      <c r="E10" s="265">
        <f>E9*Inputs!$B$51</f>
        <v>0.0063049167359999995</v>
      </c>
      <c r="F10" s="266">
        <f>F9*Inputs!$B$52</f>
        <v>0.0163767552</v>
      </c>
      <c r="G10" s="266">
        <f>G9*Inputs!$B$53</f>
        <v>0.01357213536</v>
      </c>
      <c r="H10" s="266">
        <f>H9*Inputs!$B$54</f>
        <v>0.003939132287999999</v>
      </c>
      <c r="I10" s="266">
        <f>I9*Inputs!$B$55</f>
        <v>0.020543379647999998</v>
      </c>
      <c r="J10" s="267">
        <f>J9*Inputs!$B$56</f>
        <v>0</v>
      </c>
      <c r="K10" s="265">
        <f>K9*Inputs!$B$51</f>
        <v>0</v>
      </c>
      <c r="L10" s="266">
        <f>L9*Inputs!$B$52</f>
        <v>0</v>
      </c>
      <c r="M10" s="266">
        <f>M9*Inputs!$B$53</f>
        <v>0</v>
      </c>
      <c r="N10" s="266">
        <f>N9*Inputs!$B$54</f>
        <v>0</v>
      </c>
      <c r="O10" s="266">
        <f>O9*Inputs!$B$55</f>
        <v>0</v>
      </c>
      <c r="P10" s="267">
        <f>P9*Inputs!$B$56</f>
        <v>0.17856000000000002</v>
      </c>
      <c r="Q10" s="268">
        <f>SUM(E10:P10)</f>
        <v>0.239296319232</v>
      </c>
    </row>
    <row r="11" ht="12.75" thickBot="1"/>
    <row r="12" spans="1:12" s="246" customFormat="1" ht="60">
      <c r="A12" s="243" t="s">
        <v>64</v>
      </c>
      <c r="B12" s="239" t="s">
        <v>1</v>
      </c>
      <c r="C12" s="244" t="s">
        <v>86</v>
      </c>
      <c r="D12" s="244" t="s">
        <v>363</v>
      </c>
      <c r="E12" s="244" t="s">
        <v>485</v>
      </c>
      <c r="F12" s="244" t="s">
        <v>363</v>
      </c>
      <c r="G12" s="244" t="s">
        <v>486</v>
      </c>
      <c r="H12" s="244" t="s">
        <v>296</v>
      </c>
      <c r="I12" s="245" t="s">
        <v>297</v>
      </c>
      <c r="L12" s="269"/>
    </row>
    <row r="13" spans="1:12" ht="12">
      <c r="A13" s="247">
        <v>-2</v>
      </c>
      <c r="B13" s="240">
        <v>2018</v>
      </c>
      <c r="C13" s="254">
        <f>'Avoided Truck Miles'!Y3</f>
        <v>0</v>
      </c>
      <c r="D13" s="255">
        <v>0</v>
      </c>
      <c r="E13" s="508">
        <f>'Avoided Truck Miles'!AA3</f>
        <v>0</v>
      </c>
      <c r="F13" s="270">
        <f>E13*$Q$10</f>
        <v>0</v>
      </c>
      <c r="G13" s="270">
        <f>D13-F13</f>
        <v>0</v>
      </c>
      <c r="H13" s="270">
        <f>G13/((1+Inputs!$B$6)^(B13-Inputs!$B$10))</f>
        <v>0</v>
      </c>
      <c r="I13" s="256">
        <f>G13/((1+Inputs!$B$5)^(B13-Inputs!$B$10))</f>
        <v>0</v>
      </c>
      <c r="L13" s="257"/>
    </row>
    <row r="14" spans="1:12" ht="12.75" customHeight="1">
      <c r="A14" s="247">
        <v>-1</v>
      </c>
      <c r="B14" s="242">
        <v>2019</v>
      </c>
      <c r="C14" s="254">
        <f>'Avoided Truck Miles'!Y4</f>
        <v>0</v>
      </c>
      <c r="D14" s="255">
        <v>0</v>
      </c>
      <c r="E14" s="508">
        <f>'Avoided Truck Miles'!AA4</f>
        <v>0</v>
      </c>
      <c r="F14" s="270">
        <f aca="true" t="shared" si="0" ref="F14:F45">E14*$Q$10</f>
        <v>0</v>
      </c>
      <c r="G14" s="270">
        <f aca="true" t="shared" si="1" ref="G14:G45">D14-F14</f>
        <v>0</v>
      </c>
      <c r="H14" s="270">
        <f>G14/((1+Inputs!$B$6)^(B14-Inputs!$B$10))</f>
        <v>0</v>
      </c>
      <c r="I14" s="256">
        <f>G14/((1+Inputs!$B$5)^(B14-Inputs!$B$10))</f>
        <v>0</v>
      </c>
      <c r="L14" s="257"/>
    </row>
    <row r="15" spans="1:12" ht="12.75" customHeight="1">
      <c r="A15" s="247">
        <v>0</v>
      </c>
      <c r="B15" s="242">
        <v>2020</v>
      </c>
      <c r="C15" s="254">
        <f>'Avoided Truck Miles'!Y5</f>
        <v>0</v>
      </c>
      <c r="D15" s="255">
        <f>C15*$Q$5</f>
        <v>0</v>
      </c>
      <c r="E15" s="508">
        <f>'Avoided Truck Miles'!AA5</f>
        <v>0</v>
      </c>
      <c r="F15" s="270">
        <f t="shared" si="0"/>
        <v>0</v>
      </c>
      <c r="G15" s="270">
        <f t="shared" si="1"/>
        <v>0</v>
      </c>
      <c r="H15" s="270">
        <f>G15/((1+Inputs!$B$6)^(B15-Inputs!$B$10))</f>
        <v>0</v>
      </c>
      <c r="I15" s="256">
        <f>G15/((1+Inputs!$B$5)^(B15-Inputs!$B$10))</f>
        <v>0</v>
      </c>
      <c r="L15" s="257"/>
    </row>
    <row r="16" spans="1:28" ht="12.75" customHeight="1">
      <c r="A16" s="247">
        <v>1</v>
      </c>
      <c r="B16" s="242">
        <v>2021</v>
      </c>
      <c r="C16" s="272">
        <f>'Avoided Truck Miles'!Y6</f>
        <v>3773146.3483552905</v>
      </c>
      <c r="D16" s="273">
        <f aca="true" t="shared" si="2" ref="D16:D44">C16*$Q$5</f>
        <v>728500.8247916751</v>
      </c>
      <c r="E16" s="508">
        <f>'Avoided Truck Miles'!AA6</f>
        <v>7009.506797267927</v>
      </c>
      <c r="F16" s="270">
        <f t="shared" si="0"/>
        <v>1677.3491762178999</v>
      </c>
      <c r="G16" s="270">
        <f t="shared" si="1"/>
        <v>726823.4756154572</v>
      </c>
      <c r="H16" s="270">
        <f>G16/((1+Inputs!$B$6)^(B16-Inputs!$B$10))</f>
        <v>665146.4415315602</v>
      </c>
      <c r="I16" s="274">
        <f>G16/((1+Inputs!$B$5)^(B16-Inputs!$B$10))</f>
        <v>593304.4600193276</v>
      </c>
      <c r="L16" s="275"/>
      <c r="M16" s="109"/>
      <c r="N16" s="109"/>
      <c r="O16" s="109"/>
      <c r="P16" s="276"/>
      <c r="Q16" s="276"/>
      <c r="R16" s="276"/>
      <c r="S16" s="276"/>
      <c r="T16" s="276"/>
      <c r="U16" s="276"/>
      <c r="V16" s="276"/>
      <c r="W16" s="276"/>
      <c r="X16" s="276"/>
      <c r="Y16" s="276"/>
      <c r="Z16" s="276"/>
      <c r="AA16" s="276"/>
      <c r="AB16" s="277"/>
    </row>
    <row r="17" spans="1:28" ht="12.75" customHeight="1">
      <c r="A17" s="247">
        <v>2</v>
      </c>
      <c r="B17" s="242">
        <v>2022</v>
      </c>
      <c r="C17" s="272">
        <f>'Avoided Truck Miles'!Y7</f>
        <v>3802208.8483552905</v>
      </c>
      <c r="D17" s="273">
        <f t="shared" si="2"/>
        <v>734112.0715512228</v>
      </c>
      <c r="E17" s="508">
        <f>'Avoided Truck Miles'!AA7</f>
        <v>7009.506797267927</v>
      </c>
      <c r="F17" s="270">
        <f t="shared" si="0"/>
        <v>1677.3491762178999</v>
      </c>
      <c r="G17" s="270">
        <f t="shared" si="1"/>
        <v>732434.7223750049</v>
      </c>
      <c r="H17" s="270">
        <f>G17/((1+Inputs!$B$6)^(B17-Inputs!$B$10))</f>
        <v>650758.7642739153</v>
      </c>
      <c r="I17" s="274">
        <f>G17/((1+Inputs!$B$5)^(B17-Inputs!$B$10))</f>
        <v>558770.9428372496</v>
      </c>
      <c r="L17" s="275"/>
      <c r="M17" s="109"/>
      <c r="N17" s="109"/>
      <c r="O17" s="109"/>
      <c r="P17" s="276"/>
      <c r="Q17" s="276"/>
      <c r="R17" s="276"/>
      <c r="S17" s="276"/>
      <c r="T17" s="276"/>
      <c r="U17" s="276"/>
      <c r="V17" s="276"/>
      <c r="W17" s="276"/>
      <c r="X17" s="276"/>
      <c r="Y17" s="276"/>
      <c r="Z17" s="276"/>
      <c r="AA17" s="276"/>
      <c r="AB17" s="277"/>
    </row>
    <row r="18" spans="1:28" ht="12.75" customHeight="1">
      <c r="A18" s="247">
        <v>3</v>
      </c>
      <c r="B18" s="242">
        <v>2023</v>
      </c>
      <c r="C18" s="272">
        <f>'Avoided Truck Miles'!Y8</f>
        <v>3831271.3483552905</v>
      </c>
      <c r="D18" s="273">
        <f t="shared" si="2"/>
        <v>739723.3183107706</v>
      </c>
      <c r="E18" s="508">
        <f>'Avoided Truck Miles'!AA8</f>
        <v>7009.506797267927</v>
      </c>
      <c r="F18" s="270">
        <f t="shared" si="0"/>
        <v>1677.3491762178999</v>
      </c>
      <c r="G18" s="270">
        <f t="shared" si="1"/>
        <v>738045.9691345526</v>
      </c>
      <c r="H18" s="270">
        <f>G18/((1+Inputs!$B$6)^(B18-Inputs!$B$10))</f>
        <v>636644.9362547888</v>
      </c>
      <c r="I18" s="274">
        <f>G18/((1+Inputs!$B$5)^(B18-Inputs!$B$10))</f>
        <v>526216.5758165661</v>
      </c>
      <c r="L18" s="275"/>
      <c r="M18" s="109"/>
      <c r="N18" s="109"/>
      <c r="O18" s="109"/>
      <c r="P18" s="276"/>
      <c r="Q18" s="276"/>
      <c r="R18" s="276"/>
      <c r="S18" s="276"/>
      <c r="T18" s="276"/>
      <c r="U18" s="276"/>
      <c r="V18" s="276"/>
      <c r="W18" s="276"/>
      <c r="X18" s="276"/>
      <c r="Y18" s="276"/>
      <c r="Z18" s="276"/>
      <c r="AA18" s="276"/>
      <c r="AB18" s="277"/>
    </row>
    <row r="19" spans="1:28" ht="12.75" customHeight="1">
      <c r="A19" s="247">
        <v>4</v>
      </c>
      <c r="B19" s="242">
        <v>2024</v>
      </c>
      <c r="C19" s="272">
        <f>'Avoided Truck Miles'!Y9</f>
        <v>3860333.8483552905</v>
      </c>
      <c r="D19" s="273">
        <f t="shared" si="2"/>
        <v>745334.5650703183</v>
      </c>
      <c r="E19" s="508">
        <f>'Avoided Truck Miles'!AA9</f>
        <v>7009.506797267927</v>
      </c>
      <c r="F19" s="270">
        <f t="shared" si="0"/>
        <v>1677.3491762178999</v>
      </c>
      <c r="G19" s="270">
        <f t="shared" si="1"/>
        <v>743657.2158941004</v>
      </c>
      <c r="H19" s="270">
        <f>G19/((1+Inputs!$B$6)^(B19-Inputs!$B$10))</f>
        <v>622801.2106805065</v>
      </c>
      <c r="I19" s="274">
        <f>G19/((1+Inputs!$B$5)^(B19-Inputs!$B$10))</f>
        <v>495530.2029960712</v>
      </c>
      <c r="L19" s="275"/>
      <c r="M19" s="109"/>
      <c r="N19" s="109"/>
      <c r="O19" s="109"/>
      <c r="P19" s="276"/>
      <c r="Q19" s="276"/>
      <c r="R19" s="276"/>
      <c r="S19" s="276"/>
      <c r="T19" s="276"/>
      <c r="U19" s="276"/>
      <c r="V19" s="276"/>
      <c r="W19" s="276"/>
      <c r="X19" s="276"/>
      <c r="Y19" s="276"/>
      <c r="Z19" s="276"/>
      <c r="AA19" s="276"/>
      <c r="AB19" s="277"/>
    </row>
    <row r="20" spans="1:28" ht="12.75" customHeight="1">
      <c r="A20" s="247">
        <v>5</v>
      </c>
      <c r="B20" s="242">
        <v>2025</v>
      </c>
      <c r="C20" s="272">
        <f>'Avoided Truck Miles'!Y10</f>
        <v>3889396.3483552905</v>
      </c>
      <c r="D20" s="273">
        <f t="shared" si="2"/>
        <v>750945.8118298661</v>
      </c>
      <c r="E20" s="508">
        <f>'Avoided Truck Miles'!AA10</f>
        <v>7009.506797267927</v>
      </c>
      <c r="F20" s="270">
        <f t="shared" si="0"/>
        <v>1677.3491762178999</v>
      </c>
      <c r="G20" s="270">
        <f t="shared" si="1"/>
        <v>749268.4626536482</v>
      </c>
      <c r="H20" s="270">
        <f>G20/((1+Inputs!$B$6)^(B20-Inputs!$B$10))</f>
        <v>609223.826700966</v>
      </c>
      <c r="I20" s="274">
        <f>G20/((1+Inputs!$B$5)^(B20-Inputs!$B$10))</f>
        <v>466606.74171982385</v>
      </c>
      <c r="L20" s="275"/>
      <c r="M20" s="109"/>
      <c r="N20" s="109"/>
      <c r="O20" s="109"/>
      <c r="P20" s="276"/>
      <c r="Q20" s="276"/>
      <c r="R20" s="276"/>
      <c r="S20" s="276"/>
      <c r="T20" s="276"/>
      <c r="U20" s="276"/>
      <c r="V20" s="276"/>
      <c r="W20" s="276"/>
      <c r="X20" s="276"/>
      <c r="Y20" s="276"/>
      <c r="Z20" s="276"/>
      <c r="AA20" s="276"/>
      <c r="AB20" s="277"/>
    </row>
    <row r="21" spans="1:28" ht="12.75" customHeight="1">
      <c r="A21" s="247">
        <v>6</v>
      </c>
      <c r="B21" s="242">
        <v>2026</v>
      </c>
      <c r="C21" s="272">
        <f>'Avoided Truck Miles'!Y11</f>
        <v>3889396.3483552905</v>
      </c>
      <c r="D21" s="273">
        <f t="shared" si="2"/>
        <v>750945.8118298661</v>
      </c>
      <c r="E21" s="508">
        <f>'Avoided Truck Miles'!AA11</f>
        <v>7009.506797267927</v>
      </c>
      <c r="F21" s="270">
        <f t="shared" si="0"/>
        <v>1677.3491762178999</v>
      </c>
      <c r="G21" s="270">
        <f t="shared" si="1"/>
        <v>749268.4626536482</v>
      </c>
      <c r="H21" s="270">
        <f>G21/((1+Inputs!$B$6)^(B21-Inputs!$B$10))</f>
        <v>591479.4433989963</v>
      </c>
      <c r="I21" s="274">
        <f>G21/((1+Inputs!$B$5)^(B21-Inputs!$B$10))</f>
        <v>436081.0670278727</v>
      </c>
      <c r="L21" s="275"/>
      <c r="M21" s="109"/>
      <c r="N21" s="109"/>
      <c r="O21" s="109"/>
      <c r="P21" s="276"/>
      <c r="Q21" s="276"/>
      <c r="R21" s="276"/>
      <c r="S21" s="276"/>
      <c r="T21" s="276"/>
      <c r="U21" s="276"/>
      <c r="V21" s="276"/>
      <c r="W21" s="276"/>
      <c r="X21" s="276"/>
      <c r="Y21" s="276"/>
      <c r="Z21" s="276"/>
      <c r="AA21" s="276"/>
      <c r="AB21" s="277"/>
    </row>
    <row r="22" spans="1:28" ht="12.75" customHeight="1">
      <c r="A22" s="247">
        <v>7</v>
      </c>
      <c r="B22" s="242">
        <v>2027</v>
      </c>
      <c r="C22" s="272">
        <f>'Avoided Truck Miles'!Y12</f>
        <v>3734396.3483552905</v>
      </c>
      <c r="D22" s="273">
        <f t="shared" si="2"/>
        <v>721019.1624456114</v>
      </c>
      <c r="E22" s="508">
        <f>'Avoided Truck Miles'!AA12</f>
        <v>7009.506797267927</v>
      </c>
      <c r="F22" s="270">
        <f t="shared" si="0"/>
        <v>1677.3491762178999</v>
      </c>
      <c r="G22" s="270">
        <f t="shared" si="1"/>
        <v>719341.8132693935</v>
      </c>
      <c r="H22" s="270">
        <f>G22/((1+Inputs!$B$6)^(B22-Inputs!$B$10))</f>
        <v>551315.601964068</v>
      </c>
      <c r="I22" s="274">
        <f>G22/((1+Inputs!$B$5)^(B22-Inputs!$B$10))</f>
        <v>391274.2846888886</v>
      </c>
      <c r="L22" s="275"/>
      <c r="M22" s="109"/>
      <c r="N22" s="109"/>
      <c r="O22" s="109"/>
      <c r="P22" s="276"/>
      <c r="Q22" s="276"/>
      <c r="R22" s="276"/>
      <c r="S22" s="276"/>
      <c r="T22" s="276"/>
      <c r="U22" s="276"/>
      <c r="V22" s="276"/>
      <c r="W22" s="276"/>
      <c r="X22" s="276"/>
      <c r="Y22" s="276"/>
      <c r="Z22" s="276"/>
      <c r="AA22" s="276"/>
      <c r="AB22" s="277"/>
    </row>
    <row r="23" spans="1:28" ht="12.75" customHeight="1">
      <c r="A23" s="247">
        <v>8</v>
      </c>
      <c r="B23" s="242">
        <v>2028</v>
      </c>
      <c r="C23" s="272">
        <f>'Avoided Truck Miles'!Y13</f>
        <v>3734396.3483552905</v>
      </c>
      <c r="D23" s="273">
        <f t="shared" si="2"/>
        <v>721019.1624456114</v>
      </c>
      <c r="E23" s="508">
        <f>'Avoided Truck Miles'!AA13</f>
        <v>7009.506797267927</v>
      </c>
      <c r="F23" s="270">
        <f t="shared" si="0"/>
        <v>1677.3491762178999</v>
      </c>
      <c r="G23" s="270">
        <f t="shared" si="1"/>
        <v>719341.8132693935</v>
      </c>
      <c r="H23" s="270">
        <f>G23/((1+Inputs!$B$6)^(B23-Inputs!$B$10))</f>
        <v>535257.865984532</v>
      </c>
      <c r="I23" s="274">
        <f>G23/((1+Inputs!$B$5)^(B23-Inputs!$B$10))</f>
        <v>365676.9015784005</v>
      </c>
      <c r="L23" s="275"/>
      <c r="M23" s="109"/>
      <c r="N23" s="109"/>
      <c r="O23" s="109"/>
      <c r="P23" s="276"/>
      <c r="Q23" s="276"/>
      <c r="R23" s="276"/>
      <c r="S23" s="276"/>
      <c r="T23" s="276"/>
      <c r="U23" s="276"/>
      <c r="V23" s="276"/>
      <c r="W23" s="276"/>
      <c r="X23" s="276"/>
      <c r="Y23" s="276"/>
      <c r="Z23" s="276"/>
      <c r="AA23" s="276"/>
      <c r="AB23" s="277"/>
    </row>
    <row r="24" spans="1:28" ht="12.75" customHeight="1">
      <c r="A24" s="247">
        <v>9</v>
      </c>
      <c r="B24" s="242">
        <v>2029</v>
      </c>
      <c r="C24" s="272">
        <f>'Avoided Truck Miles'!Y14</f>
        <v>3734396.3483552905</v>
      </c>
      <c r="D24" s="273">
        <f t="shared" si="2"/>
        <v>721019.1624456114</v>
      </c>
      <c r="E24" s="508">
        <f>'Avoided Truck Miles'!AA14</f>
        <v>7009.506797267927</v>
      </c>
      <c r="F24" s="270">
        <f t="shared" si="0"/>
        <v>1677.3491762178999</v>
      </c>
      <c r="G24" s="270">
        <f t="shared" si="1"/>
        <v>719341.8132693935</v>
      </c>
      <c r="H24" s="270">
        <f>G24/((1+Inputs!$B$6)^(B24-Inputs!$B$10))</f>
        <v>519667.8310529438</v>
      </c>
      <c r="I24" s="274">
        <f>G24/((1+Inputs!$B$5)^(B24-Inputs!$B$10))</f>
        <v>341754.11362467334</v>
      </c>
      <c r="L24" s="275"/>
      <c r="M24" s="109"/>
      <c r="N24" s="109"/>
      <c r="O24" s="109"/>
      <c r="P24" s="276"/>
      <c r="Q24" s="276"/>
      <c r="R24" s="276"/>
      <c r="S24" s="276"/>
      <c r="T24" s="276"/>
      <c r="U24" s="276"/>
      <c r="V24" s="276"/>
      <c r="W24" s="276"/>
      <c r="X24" s="276"/>
      <c r="Y24" s="276"/>
      <c r="Z24" s="276"/>
      <c r="AA24" s="276"/>
      <c r="AB24" s="277"/>
    </row>
    <row r="25" spans="1:28" ht="12.75" customHeight="1">
      <c r="A25" s="247">
        <v>10</v>
      </c>
      <c r="B25" s="242">
        <v>2030</v>
      </c>
      <c r="C25" s="272">
        <f>'Avoided Truck Miles'!Y15</f>
        <v>3734396.3483552905</v>
      </c>
      <c r="D25" s="273">
        <f t="shared" si="2"/>
        <v>721019.1624456114</v>
      </c>
      <c r="E25" s="508">
        <f>'Avoided Truck Miles'!AA15</f>
        <v>7009.506797267927</v>
      </c>
      <c r="F25" s="270">
        <f t="shared" si="0"/>
        <v>1677.3491762178999</v>
      </c>
      <c r="G25" s="270">
        <f t="shared" si="1"/>
        <v>719341.8132693935</v>
      </c>
      <c r="H25" s="270">
        <f>G25/((1+Inputs!$B$6)^(B25-Inputs!$B$10))</f>
        <v>504531.87480868335</v>
      </c>
      <c r="I25" s="274">
        <f>G25/((1+Inputs!$B$5)^(B25-Inputs!$B$10))</f>
        <v>319396.3678735266</v>
      </c>
      <c r="L25" s="275"/>
      <c r="M25" s="109"/>
      <c r="N25" s="109"/>
      <c r="O25" s="109"/>
      <c r="P25" s="109"/>
      <c r="Q25" s="109"/>
      <c r="R25" s="109"/>
      <c r="S25" s="109"/>
      <c r="T25" s="109"/>
      <c r="U25" s="109"/>
      <c r="V25" s="109"/>
      <c r="W25" s="109"/>
      <c r="X25" s="109"/>
      <c r="Y25" s="109"/>
      <c r="Z25" s="109"/>
      <c r="AA25" s="109"/>
      <c r="AB25" s="277"/>
    </row>
    <row r="26" spans="1:28" ht="12">
      <c r="A26" s="247">
        <v>11</v>
      </c>
      <c r="B26" s="242">
        <v>2031</v>
      </c>
      <c r="C26" s="272">
        <f>'Avoided Truck Miles'!Y16</f>
        <v>3734396.3483552905</v>
      </c>
      <c r="D26" s="273">
        <f t="shared" si="2"/>
        <v>721019.1624456114</v>
      </c>
      <c r="E26" s="508">
        <f>'Avoided Truck Miles'!AA16</f>
        <v>7009.506797267927</v>
      </c>
      <c r="F26" s="270">
        <f t="shared" si="0"/>
        <v>1677.3491762178999</v>
      </c>
      <c r="G26" s="270">
        <f t="shared" si="1"/>
        <v>719341.8132693935</v>
      </c>
      <c r="H26" s="270">
        <f>G26/((1+Inputs!$B$6)^(B26-Inputs!$B$10))</f>
        <v>489836.77165891585</v>
      </c>
      <c r="I26" s="274">
        <f>G26/((1+Inputs!$B$5)^(B26-Inputs!$B$10))</f>
        <v>298501.2783864734</v>
      </c>
      <c r="L26" s="275"/>
      <c r="M26" s="278"/>
      <c r="N26" s="278"/>
      <c r="O26" s="278"/>
      <c r="P26" s="278"/>
      <c r="Q26" s="278"/>
      <c r="R26" s="278"/>
      <c r="S26" s="278"/>
      <c r="T26" s="278"/>
      <c r="U26" s="278"/>
      <c r="V26" s="278"/>
      <c r="W26" s="278"/>
      <c r="X26" s="278"/>
      <c r="Y26" s="278"/>
      <c r="Z26" s="278"/>
      <c r="AA26" s="278"/>
      <c r="AB26" s="277"/>
    </row>
    <row r="27" spans="1:28" ht="12">
      <c r="A27" s="247">
        <v>12</v>
      </c>
      <c r="B27" s="242">
        <v>2032</v>
      </c>
      <c r="C27" s="272">
        <f>'Avoided Truck Miles'!Y17</f>
        <v>3734396.3483552905</v>
      </c>
      <c r="D27" s="273">
        <f t="shared" si="2"/>
        <v>721019.1624456114</v>
      </c>
      <c r="E27" s="508">
        <f>'Avoided Truck Miles'!AA17</f>
        <v>7009.506797267927</v>
      </c>
      <c r="F27" s="270">
        <f t="shared" si="0"/>
        <v>1677.3491762178999</v>
      </c>
      <c r="G27" s="270">
        <f t="shared" si="1"/>
        <v>719341.8132693935</v>
      </c>
      <c r="H27" s="270">
        <f>G27/((1+Inputs!$B$6)^(B27-Inputs!$B$10))</f>
        <v>475569.68122224836</v>
      </c>
      <c r="I27" s="274">
        <f>G27/((1+Inputs!$B$5)^(B27-Inputs!$B$10))</f>
        <v>278973.1573705359</v>
      </c>
      <c r="L27" s="275"/>
      <c r="M27" s="278"/>
      <c r="N27" s="278"/>
      <c r="O27" s="278"/>
      <c r="P27" s="279"/>
      <c r="Q27" s="279"/>
      <c r="R27" s="279"/>
      <c r="S27" s="279"/>
      <c r="T27" s="279"/>
      <c r="U27" s="279"/>
      <c r="V27" s="279"/>
      <c r="W27" s="279"/>
      <c r="X27" s="279"/>
      <c r="Y27" s="279"/>
      <c r="Z27" s="279"/>
      <c r="AA27" s="279"/>
      <c r="AB27" s="277"/>
    </row>
    <row r="28" spans="1:28" ht="12">
      <c r="A28" s="247">
        <v>13</v>
      </c>
      <c r="B28" s="242">
        <v>2033</v>
      </c>
      <c r="C28" s="272">
        <f>'Avoided Truck Miles'!Y18</f>
        <v>3734396.3483552905</v>
      </c>
      <c r="D28" s="273">
        <f t="shared" si="2"/>
        <v>721019.1624456114</v>
      </c>
      <c r="E28" s="508">
        <f>'Avoided Truck Miles'!AA18</f>
        <v>7009.506797267927</v>
      </c>
      <c r="F28" s="270">
        <f t="shared" si="0"/>
        <v>1677.3491762178999</v>
      </c>
      <c r="G28" s="270">
        <f t="shared" si="1"/>
        <v>719341.8132693935</v>
      </c>
      <c r="H28" s="270">
        <f>G28/((1+Inputs!$B$6)^(B28-Inputs!$B$10))</f>
        <v>461718.137108979</v>
      </c>
      <c r="I28" s="274">
        <f>G28/((1+Inputs!$B$5)^(B28-Inputs!$B$10))</f>
        <v>260722.57698180922</v>
      </c>
      <c r="L28" s="275"/>
      <c r="M28" s="271"/>
      <c r="N28" s="271"/>
      <c r="O28" s="271"/>
      <c r="P28" s="271"/>
      <c r="Q28" s="271"/>
      <c r="R28" s="271"/>
      <c r="S28" s="271"/>
      <c r="T28" s="271"/>
      <c r="U28" s="271"/>
      <c r="V28" s="271"/>
      <c r="W28" s="271"/>
      <c r="X28" s="271"/>
      <c r="Y28" s="271"/>
      <c r="Z28" s="271"/>
      <c r="AA28" s="271"/>
      <c r="AB28" s="271"/>
    </row>
    <row r="29" spans="1:28" ht="12">
      <c r="A29" s="247">
        <v>14</v>
      </c>
      <c r="B29" s="242">
        <v>2034</v>
      </c>
      <c r="C29" s="272">
        <f>'Avoided Truck Miles'!Y19</f>
        <v>3734396.3483552905</v>
      </c>
      <c r="D29" s="273">
        <f t="shared" si="2"/>
        <v>721019.1624456114</v>
      </c>
      <c r="E29" s="508">
        <f>'Avoided Truck Miles'!AA19</f>
        <v>7009.506797267927</v>
      </c>
      <c r="F29" s="270">
        <f t="shared" si="0"/>
        <v>1677.3491762178999</v>
      </c>
      <c r="G29" s="270">
        <f t="shared" si="1"/>
        <v>719341.8132693935</v>
      </c>
      <c r="H29" s="270">
        <f>G29/((1+Inputs!$B$6)^(B29-Inputs!$B$10))</f>
        <v>448270.036028135</v>
      </c>
      <c r="I29" s="274">
        <f>G29/((1+Inputs!$B$5)^(B29-Inputs!$B$10))</f>
        <v>243665.95979608342</v>
      </c>
      <c r="L29" s="275"/>
      <c r="M29" s="271"/>
      <c r="N29" s="271"/>
      <c r="O29" s="271"/>
      <c r="P29" s="271"/>
      <c r="Q29" s="271"/>
      <c r="R29" s="271"/>
      <c r="S29" s="271"/>
      <c r="T29" s="271"/>
      <c r="U29" s="271"/>
      <c r="V29" s="271"/>
      <c r="W29" s="271"/>
      <c r="X29" s="271"/>
      <c r="Y29" s="271"/>
      <c r="Z29" s="271"/>
      <c r="AA29" s="271"/>
      <c r="AB29" s="271"/>
    </row>
    <row r="30" spans="1:12" ht="12">
      <c r="A30" s="247">
        <v>15</v>
      </c>
      <c r="B30" s="242">
        <v>2035</v>
      </c>
      <c r="C30" s="272">
        <f>'Avoided Truck Miles'!Y20</f>
        <v>3734396.3483552905</v>
      </c>
      <c r="D30" s="273">
        <f t="shared" si="2"/>
        <v>721019.1624456114</v>
      </c>
      <c r="E30" s="508">
        <f>'Avoided Truck Miles'!AA20</f>
        <v>7009.506797267927</v>
      </c>
      <c r="F30" s="270">
        <f t="shared" si="0"/>
        <v>1677.3491762178999</v>
      </c>
      <c r="G30" s="270">
        <f t="shared" si="1"/>
        <v>719341.8132693935</v>
      </c>
      <c r="H30" s="270">
        <f>G30/((1+Inputs!$B$6)^(B30-Inputs!$B$10))</f>
        <v>435213.62721178157</v>
      </c>
      <c r="I30" s="274">
        <f>G30/((1+Inputs!$B$5)^(B30-Inputs!$B$10))</f>
        <v>227725.196071106</v>
      </c>
      <c r="L30" s="275"/>
    </row>
    <row r="31" spans="1:12" ht="12">
      <c r="A31" s="247">
        <v>16</v>
      </c>
      <c r="B31" s="242">
        <v>2036</v>
      </c>
      <c r="C31" s="272">
        <f>'Avoided Truck Miles'!Y21</f>
        <v>3734396.3483552905</v>
      </c>
      <c r="D31" s="273">
        <f t="shared" si="2"/>
        <v>721019.1624456114</v>
      </c>
      <c r="E31" s="508">
        <f>'Avoided Truck Miles'!AA21</f>
        <v>7009.506797267927</v>
      </c>
      <c r="F31" s="270">
        <f t="shared" si="0"/>
        <v>1677.3491762178999</v>
      </c>
      <c r="G31" s="270">
        <f t="shared" si="1"/>
        <v>719341.8132693935</v>
      </c>
      <c r="H31" s="270">
        <f>G31/((1+Inputs!$B$6)^(B31-Inputs!$B$10))</f>
        <v>422537.5021473607</v>
      </c>
      <c r="I31" s="274">
        <f>G31/((1+Inputs!$B$5)^(B31-Inputs!$B$10))</f>
        <v>212827.2860477626</v>
      </c>
      <c r="L31" s="275"/>
    </row>
    <row r="32" spans="1:12" ht="12">
      <c r="A32" s="247">
        <v>17</v>
      </c>
      <c r="B32" s="242">
        <v>2037</v>
      </c>
      <c r="C32" s="272">
        <f>'Avoided Truck Miles'!Y22</f>
        <v>3734396.3483552905</v>
      </c>
      <c r="D32" s="273">
        <f t="shared" si="2"/>
        <v>721019.1624456114</v>
      </c>
      <c r="E32" s="508">
        <f>'Avoided Truck Miles'!AA22</f>
        <v>7009.506797267927</v>
      </c>
      <c r="F32" s="270">
        <f t="shared" si="0"/>
        <v>1677.3491762178999</v>
      </c>
      <c r="G32" s="270">
        <f t="shared" si="1"/>
        <v>719341.8132693935</v>
      </c>
      <c r="H32" s="270">
        <f>G32/((1+Inputs!$B$6)^(B32-Inputs!$B$10))</f>
        <v>410230.5846090881</v>
      </c>
      <c r="I32" s="274">
        <f>G32/((1+Inputs!$B$5)^(B32-Inputs!$B$10))</f>
        <v>198904.00565211457</v>
      </c>
      <c r="L32" s="275"/>
    </row>
    <row r="33" spans="1:12" ht="12">
      <c r="A33" s="247">
        <v>18</v>
      </c>
      <c r="B33" s="242">
        <v>2038</v>
      </c>
      <c r="C33" s="272">
        <f>'Avoided Truck Miles'!Y23</f>
        <v>3734396.3483552905</v>
      </c>
      <c r="D33" s="273">
        <f t="shared" si="2"/>
        <v>721019.1624456114</v>
      </c>
      <c r="E33" s="508">
        <f>'Avoided Truck Miles'!AA23</f>
        <v>7009.506797267927</v>
      </c>
      <c r="F33" s="270">
        <f t="shared" si="0"/>
        <v>1677.3491762178999</v>
      </c>
      <c r="G33" s="270">
        <f t="shared" si="1"/>
        <v>719341.8132693935</v>
      </c>
      <c r="H33" s="270">
        <f>G33/((1+Inputs!$B$6)^(B33-Inputs!$B$10))</f>
        <v>398282.1209796972</v>
      </c>
      <c r="I33" s="274">
        <f>G33/((1+Inputs!$B$5)^(B33-Inputs!$B$10))</f>
        <v>185891.59406739683</v>
      </c>
      <c r="L33" s="275"/>
    </row>
    <row r="34" spans="1:12" ht="12">
      <c r="A34" s="247">
        <v>19</v>
      </c>
      <c r="B34" s="242">
        <v>2039</v>
      </c>
      <c r="C34" s="272">
        <f>'Avoided Truck Miles'!Y24</f>
        <v>3734396.3483552905</v>
      </c>
      <c r="D34" s="273">
        <f t="shared" si="2"/>
        <v>721019.1624456114</v>
      </c>
      <c r="E34" s="508">
        <f>'Avoided Truck Miles'!AA24</f>
        <v>7009.506797267927</v>
      </c>
      <c r="F34" s="270">
        <f t="shared" si="0"/>
        <v>1677.3491762178999</v>
      </c>
      <c r="G34" s="270">
        <f t="shared" si="1"/>
        <v>719341.8132693935</v>
      </c>
      <c r="H34" s="270">
        <f>G34/((1+Inputs!$B$6)^(B34-Inputs!$B$10))</f>
        <v>386681.670854075</v>
      </c>
      <c r="I34" s="274">
        <f>G34/((1+Inputs!$B$5)^(B34-Inputs!$B$10))</f>
        <v>173730.46174523066</v>
      </c>
      <c r="L34" s="275"/>
    </row>
    <row r="35" spans="1:12" ht="12">
      <c r="A35" s="247">
        <v>20</v>
      </c>
      <c r="B35" s="242">
        <v>2040</v>
      </c>
      <c r="C35" s="272">
        <f>'Avoided Truck Miles'!Y25</f>
        <v>3734396.3483552905</v>
      </c>
      <c r="D35" s="273">
        <f t="shared" si="2"/>
        <v>721019.1624456114</v>
      </c>
      <c r="E35" s="508">
        <f>'Avoided Truck Miles'!AA25</f>
        <v>7009.506797267927</v>
      </c>
      <c r="F35" s="270">
        <f t="shared" si="0"/>
        <v>1677.3491762178999</v>
      </c>
      <c r="G35" s="270">
        <f t="shared" si="1"/>
        <v>719341.8132693935</v>
      </c>
      <c r="H35" s="270">
        <f>G35/((1+Inputs!$B$6)^(B35-Inputs!$B$10))</f>
        <v>375419.09791657765</v>
      </c>
      <c r="I35" s="274">
        <f>G35/((1+Inputs!$B$5)^(B35-Inputs!$B$10))</f>
        <v>162364.91751890717</v>
      </c>
      <c r="L35" s="275"/>
    </row>
    <row r="36" spans="1:12" ht="12">
      <c r="A36" s="247">
        <v>21</v>
      </c>
      <c r="B36" s="242">
        <v>2041</v>
      </c>
      <c r="C36" s="272">
        <f>'Avoided Truck Miles'!Y26</f>
        <v>3734396.3483552905</v>
      </c>
      <c r="D36" s="273">
        <f t="shared" si="2"/>
        <v>721019.1624456114</v>
      </c>
      <c r="E36" s="508">
        <f>'Avoided Truck Miles'!AA26</f>
        <v>7009.506797267927</v>
      </c>
      <c r="F36" s="270">
        <f t="shared" si="0"/>
        <v>1677.3491762178999</v>
      </c>
      <c r="G36" s="270">
        <f t="shared" si="1"/>
        <v>719341.8132693935</v>
      </c>
      <c r="H36" s="270">
        <f>G36/((1+Inputs!$B$6)^(B36-Inputs!$B$10))</f>
        <v>364484.5610840559</v>
      </c>
      <c r="I36" s="274">
        <f>G36/((1+Inputs!$B$5)^(B36-Inputs!$B$10))</f>
        <v>151742.91356907212</v>
      </c>
      <c r="L36" s="275"/>
    </row>
    <row r="37" spans="1:12" ht="12">
      <c r="A37" s="247">
        <v>22</v>
      </c>
      <c r="B37" s="242">
        <v>2042</v>
      </c>
      <c r="C37" s="272">
        <f>'Avoided Truck Miles'!Y27</f>
        <v>3734396.3483552905</v>
      </c>
      <c r="D37" s="273">
        <f t="shared" si="2"/>
        <v>721019.1624456114</v>
      </c>
      <c r="E37" s="508">
        <f>'Avoided Truck Miles'!AA27</f>
        <v>7009.506797267927</v>
      </c>
      <c r="F37" s="270">
        <f t="shared" si="0"/>
        <v>1677.3491762178999</v>
      </c>
      <c r="G37" s="270">
        <f t="shared" si="1"/>
        <v>719341.8132693935</v>
      </c>
      <c r="H37" s="270">
        <f>G37/((1+Inputs!$B$6)^(B37-Inputs!$B$10))</f>
        <v>353868.50590685045</v>
      </c>
      <c r="I37" s="274">
        <f>G37/((1+Inputs!$B$5)^(B37-Inputs!$B$10))</f>
        <v>141815.80707389917</v>
      </c>
      <c r="L37" s="275"/>
    </row>
    <row r="38" spans="1:12" ht="12">
      <c r="A38" s="247">
        <v>23</v>
      </c>
      <c r="B38" s="242">
        <v>2043</v>
      </c>
      <c r="C38" s="272">
        <f>'Avoided Truck Miles'!Y28</f>
        <v>3734396.3483552905</v>
      </c>
      <c r="D38" s="273">
        <f t="shared" si="2"/>
        <v>721019.1624456114</v>
      </c>
      <c r="E38" s="508">
        <f>'Avoided Truck Miles'!AA28</f>
        <v>7009.506797267927</v>
      </c>
      <c r="F38" s="270">
        <f t="shared" si="0"/>
        <v>1677.3491762178999</v>
      </c>
      <c r="G38" s="270">
        <f t="shared" si="1"/>
        <v>719341.8132693935</v>
      </c>
      <c r="H38" s="270">
        <f>G38/((1+Inputs!$B$6)^(B38-Inputs!$B$10))</f>
        <v>343561.6562202432</v>
      </c>
      <c r="I38" s="274">
        <f>G38/((1+Inputs!$B$5)^(B38-Inputs!$B$10))</f>
        <v>132538.1374522422</v>
      </c>
      <c r="L38" s="275"/>
    </row>
    <row r="39" spans="1:12" ht="12">
      <c r="A39" s="247">
        <v>24</v>
      </c>
      <c r="B39" s="242">
        <v>2044</v>
      </c>
      <c r="C39" s="272">
        <f>'Avoided Truck Miles'!Y29</f>
        <v>3734396.3483552905</v>
      </c>
      <c r="D39" s="273">
        <f t="shared" si="2"/>
        <v>721019.1624456114</v>
      </c>
      <c r="E39" s="508">
        <f>'Avoided Truck Miles'!AA29</f>
        <v>7009.506797267927</v>
      </c>
      <c r="F39" s="270">
        <f t="shared" si="0"/>
        <v>1677.3491762178999</v>
      </c>
      <c r="G39" s="270">
        <f t="shared" si="1"/>
        <v>719341.8132693935</v>
      </c>
      <c r="H39" s="270">
        <f>G39/((1+Inputs!$B$6)^(B39-Inputs!$B$10))</f>
        <v>333555.006039071</v>
      </c>
      <c r="I39" s="274">
        <f>G39/((1+Inputs!$B$5)^(B39-Inputs!$B$10))</f>
        <v>123867.41817966562</v>
      </c>
      <c r="L39" s="275"/>
    </row>
    <row r="40" spans="1:12" ht="12">
      <c r="A40" s="247">
        <v>25</v>
      </c>
      <c r="B40" s="242">
        <v>2045</v>
      </c>
      <c r="C40" s="272">
        <f>'Avoided Truck Miles'!Y30</f>
        <v>3734396.3483552905</v>
      </c>
      <c r="D40" s="273">
        <f t="shared" si="2"/>
        <v>721019.1624456114</v>
      </c>
      <c r="E40" s="508">
        <f>'Avoided Truck Miles'!AA30</f>
        <v>7009.506797267927</v>
      </c>
      <c r="F40" s="270">
        <f t="shared" si="0"/>
        <v>1677.3491762178999</v>
      </c>
      <c r="G40" s="270">
        <f t="shared" si="1"/>
        <v>719341.8132693935</v>
      </c>
      <c r="H40" s="270">
        <f>G40/((1+Inputs!$B$6)^(B40-Inputs!$B$10))</f>
        <v>323839.8116884185</v>
      </c>
      <c r="I40" s="274">
        <f>G40/((1+Inputs!$B$5)^(B40-Inputs!$B$10))</f>
        <v>115763.94222398654</v>
      </c>
      <c r="L40" s="275"/>
    </row>
    <row r="41" spans="1:12" ht="12">
      <c r="A41" s="247">
        <v>26</v>
      </c>
      <c r="B41" s="242">
        <v>2046</v>
      </c>
      <c r="C41" s="272">
        <f>'Avoided Truck Miles'!Y31</f>
        <v>3734396.3483552905</v>
      </c>
      <c r="D41" s="273">
        <f t="shared" si="2"/>
        <v>721019.1624456114</v>
      </c>
      <c r="E41" s="508">
        <f>'Avoided Truck Miles'!AA31</f>
        <v>7009.506797267927</v>
      </c>
      <c r="F41" s="270">
        <f t="shared" si="0"/>
        <v>1677.3491762178999</v>
      </c>
      <c r="G41" s="270">
        <f t="shared" si="1"/>
        <v>719341.8132693935</v>
      </c>
      <c r="H41" s="270">
        <f>G41/((1+Inputs!$B$6)^(B41-Inputs!$B$10))</f>
        <v>314407.5841635131</v>
      </c>
      <c r="I41" s="274">
        <f>G41/((1+Inputs!$B$5)^(B41-Inputs!$B$10))</f>
        <v>108190.60020933324</v>
      </c>
      <c r="L41" s="275"/>
    </row>
    <row r="42" spans="1:12" ht="12">
      <c r="A42" s="247">
        <v>27</v>
      </c>
      <c r="B42" s="242">
        <v>2047</v>
      </c>
      <c r="C42" s="272">
        <f>'Avoided Truck Miles'!Y32</f>
        <v>3734396.3483552905</v>
      </c>
      <c r="D42" s="273">
        <f t="shared" si="2"/>
        <v>721019.1624456114</v>
      </c>
      <c r="E42" s="508">
        <f>'Avoided Truck Miles'!AA32</f>
        <v>7009.506797267927</v>
      </c>
      <c r="F42" s="270">
        <f t="shared" si="0"/>
        <v>1677.3491762178999</v>
      </c>
      <c r="G42" s="270">
        <f t="shared" si="1"/>
        <v>719341.8132693935</v>
      </c>
      <c r="H42" s="270">
        <f>G42/((1+Inputs!$B$6)^(B42-Inputs!$B$10))</f>
        <v>305250.0817121487</v>
      </c>
      <c r="I42" s="274">
        <f>G42/((1+Inputs!$B$5)^(B42-Inputs!$B$10))</f>
        <v>101112.71047601236</v>
      </c>
      <c r="L42" s="275"/>
    </row>
    <row r="43" spans="1:12" ht="12">
      <c r="A43" s="247">
        <v>28</v>
      </c>
      <c r="B43" s="242">
        <v>2048</v>
      </c>
      <c r="C43" s="272">
        <f>'Avoided Truck Miles'!Y33</f>
        <v>3734396.3483552905</v>
      </c>
      <c r="D43" s="273">
        <f t="shared" si="2"/>
        <v>721019.1624456114</v>
      </c>
      <c r="E43" s="508">
        <f>'Avoided Truck Miles'!AA33</f>
        <v>7009.506797267927</v>
      </c>
      <c r="F43" s="270">
        <f t="shared" si="0"/>
        <v>1677.3491762178999</v>
      </c>
      <c r="G43" s="270">
        <f t="shared" si="1"/>
        <v>719341.8132693935</v>
      </c>
      <c r="H43" s="270">
        <f>G43/((1+Inputs!$B$6)^(B43-Inputs!$B$10))</f>
        <v>296359.30263315403</v>
      </c>
      <c r="I43" s="274">
        <f>G43/((1+Inputs!$B$5)^(B43-Inputs!$B$10))</f>
        <v>94497.86025795549</v>
      </c>
      <c r="L43" s="275"/>
    </row>
    <row r="44" spans="1:12" ht="12">
      <c r="A44" s="247">
        <v>29</v>
      </c>
      <c r="B44" s="242">
        <v>2049</v>
      </c>
      <c r="C44" s="272">
        <f>'Avoided Truck Miles'!Y34</f>
        <v>3734396.3483552905</v>
      </c>
      <c r="D44" s="273">
        <f t="shared" si="2"/>
        <v>721019.1624456114</v>
      </c>
      <c r="E44" s="508">
        <f>'Avoided Truck Miles'!AA34</f>
        <v>7009.506797267927</v>
      </c>
      <c r="F44" s="270">
        <f t="shared" si="0"/>
        <v>1677.3491762178999</v>
      </c>
      <c r="G44" s="270">
        <f t="shared" si="1"/>
        <v>719341.8132693935</v>
      </c>
      <c r="H44" s="270">
        <f>G44/((1+Inputs!$B$6)^(B44-Inputs!$B$10))</f>
        <v>287727.4782846155</v>
      </c>
      <c r="I44" s="274">
        <f>G44/((1+Inputs!$B$5)^(B44-Inputs!$B$10))</f>
        <v>88315.75725042567</v>
      </c>
      <c r="L44" s="275"/>
    </row>
    <row r="45" spans="1:12" ht="12">
      <c r="A45" s="247">
        <v>30</v>
      </c>
      <c r="B45" s="242">
        <v>2050</v>
      </c>
      <c r="C45" s="272">
        <f>'Avoided Truck Miles'!Y35</f>
        <v>3734358.8189435257</v>
      </c>
      <c r="D45" s="273">
        <f>C45*$Q$5</f>
        <v>721011.9164485309</v>
      </c>
      <c r="E45" s="508">
        <f>'Avoided Truck Miles'!AA35</f>
        <v>7009.506797267927</v>
      </c>
      <c r="F45" s="270">
        <f t="shared" si="0"/>
        <v>1677.3491762178999</v>
      </c>
      <c r="G45" s="270">
        <f t="shared" si="1"/>
        <v>719334.5672723129</v>
      </c>
      <c r="H45" s="270">
        <f>G45/((1+Inputs!$B$6)^(B45-Inputs!$B$10))</f>
        <v>279344.25240672764</v>
      </c>
      <c r="I45" s="274">
        <f>G45/((1+Inputs!$B$5)^(B45-Inputs!$B$10))</f>
        <v>82537.25947437163</v>
      </c>
      <c r="L45" s="275"/>
    </row>
    <row r="46" spans="1:12" ht="12.75" thickBot="1">
      <c r="A46" s="637" t="s">
        <v>0</v>
      </c>
      <c r="B46" s="638"/>
      <c r="C46" s="280">
        <f aca="true" t="shared" si="3" ref="C46:I46">SUM(C13:C45)</f>
        <v>112671227.921247</v>
      </c>
      <c r="D46" s="281">
        <f t="shared" si="3"/>
        <v>21754015.056081325</v>
      </c>
      <c r="E46" s="281">
        <f t="shared" si="3"/>
        <v>210285.2039180379</v>
      </c>
      <c r="F46" s="281">
        <f t="shared" si="3"/>
        <v>50320.47528653696</v>
      </c>
      <c r="G46" s="281">
        <f t="shared" si="3"/>
        <v>21703694.580794767</v>
      </c>
      <c r="H46" s="281">
        <f t="shared" si="3"/>
        <v>13392985.266526615</v>
      </c>
      <c r="I46" s="282">
        <f t="shared" si="3"/>
        <v>7878300.497986782</v>
      </c>
      <c r="L46" s="283"/>
    </row>
    <row r="47" spans="1:8" ht="12.75" thickBot="1">
      <c r="A47" s="253"/>
      <c r="B47" s="253"/>
      <c r="G47" s="271"/>
      <c r="H47" s="271"/>
    </row>
    <row r="48" spans="1:9" ht="60">
      <c r="A48" s="243" t="s">
        <v>64</v>
      </c>
      <c r="B48" s="239" t="s">
        <v>1</v>
      </c>
      <c r="C48" s="244" t="s">
        <v>86</v>
      </c>
      <c r="D48" s="244" t="s">
        <v>363</v>
      </c>
      <c r="E48" s="244" t="s">
        <v>485</v>
      </c>
      <c r="F48" s="244" t="s">
        <v>363</v>
      </c>
      <c r="G48" s="244" t="s">
        <v>486</v>
      </c>
      <c r="H48" s="244" t="s">
        <v>296</v>
      </c>
      <c r="I48" s="245" t="s">
        <v>297</v>
      </c>
    </row>
    <row r="49" spans="1:9" ht="12">
      <c r="A49" s="247">
        <v>-2</v>
      </c>
      <c r="B49" s="240">
        <v>2018</v>
      </c>
      <c r="C49" s="254">
        <f>ROUND(C13,-3)</f>
        <v>0</v>
      </c>
      <c r="D49" s="255">
        <f aca="true" t="shared" si="4" ref="D49:I49">ROUND(D13,-3)</f>
        <v>0</v>
      </c>
      <c r="E49" s="508">
        <f t="shared" si="4"/>
        <v>0</v>
      </c>
      <c r="F49" s="270">
        <f t="shared" si="4"/>
        <v>0</v>
      </c>
      <c r="G49" s="270">
        <f t="shared" si="4"/>
        <v>0</v>
      </c>
      <c r="H49" s="270">
        <f t="shared" si="4"/>
        <v>0</v>
      </c>
      <c r="I49" s="256">
        <f t="shared" si="4"/>
        <v>0</v>
      </c>
    </row>
    <row r="50" spans="1:9" ht="12">
      <c r="A50" s="247">
        <v>-1</v>
      </c>
      <c r="B50" s="242">
        <v>2019</v>
      </c>
      <c r="C50" s="254">
        <f aca="true" t="shared" si="5" ref="C50:I50">ROUND(C14,-3)</f>
        <v>0</v>
      </c>
      <c r="D50" s="255">
        <f t="shared" si="5"/>
        <v>0</v>
      </c>
      <c r="E50" s="508">
        <f t="shared" si="5"/>
        <v>0</v>
      </c>
      <c r="F50" s="270">
        <f t="shared" si="5"/>
        <v>0</v>
      </c>
      <c r="G50" s="270">
        <f t="shared" si="5"/>
        <v>0</v>
      </c>
      <c r="H50" s="270">
        <f t="shared" si="5"/>
        <v>0</v>
      </c>
      <c r="I50" s="256">
        <f t="shared" si="5"/>
        <v>0</v>
      </c>
    </row>
    <row r="51" spans="1:9" ht="12">
      <c r="A51" s="247">
        <v>0</v>
      </c>
      <c r="B51" s="242">
        <v>2020</v>
      </c>
      <c r="C51" s="254">
        <f aca="true" t="shared" si="6" ref="C51:I51">ROUND(C15,-3)</f>
        <v>0</v>
      </c>
      <c r="D51" s="255">
        <f t="shared" si="6"/>
        <v>0</v>
      </c>
      <c r="E51" s="508">
        <f t="shared" si="6"/>
        <v>0</v>
      </c>
      <c r="F51" s="270">
        <f t="shared" si="6"/>
        <v>0</v>
      </c>
      <c r="G51" s="270">
        <f t="shared" si="6"/>
        <v>0</v>
      </c>
      <c r="H51" s="270">
        <f t="shared" si="6"/>
        <v>0</v>
      </c>
      <c r="I51" s="256">
        <f t="shared" si="6"/>
        <v>0</v>
      </c>
    </row>
    <row r="52" spans="1:9" ht="12">
      <c r="A52" s="247">
        <v>1</v>
      </c>
      <c r="B52" s="242">
        <v>2021</v>
      </c>
      <c r="C52" s="272">
        <f aca="true" t="shared" si="7" ref="C52:I52">ROUND(C16,-3)</f>
        <v>3773000</v>
      </c>
      <c r="D52" s="273">
        <f t="shared" si="7"/>
        <v>729000</v>
      </c>
      <c r="E52" s="508">
        <f t="shared" si="7"/>
        <v>7000</v>
      </c>
      <c r="F52" s="270">
        <f t="shared" si="7"/>
        <v>2000</v>
      </c>
      <c r="G52" s="270">
        <f t="shared" si="7"/>
        <v>727000</v>
      </c>
      <c r="H52" s="270">
        <f t="shared" si="7"/>
        <v>665000</v>
      </c>
      <c r="I52" s="274">
        <f t="shared" si="7"/>
        <v>593000</v>
      </c>
    </row>
    <row r="53" spans="1:9" ht="12">
      <c r="A53" s="247">
        <v>2</v>
      </c>
      <c r="B53" s="242">
        <v>2022</v>
      </c>
      <c r="C53" s="272">
        <f aca="true" t="shared" si="8" ref="C53:I53">ROUND(C17,-3)</f>
        <v>3802000</v>
      </c>
      <c r="D53" s="273">
        <f t="shared" si="8"/>
        <v>734000</v>
      </c>
      <c r="E53" s="508">
        <f t="shared" si="8"/>
        <v>7000</v>
      </c>
      <c r="F53" s="270">
        <f t="shared" si="8"/>
        <v>2000</v>
      </c>
      <c r="G53" s="270">
        <f t="shared" si="8"/>
        <v>732000</v>
      </c>
      <c r="H53" s="270">
        <f t="shared" si="8"/>
        <v>651000</v>
      </c>
      <c r="I53" s="274">
        <f t="shared" si="8"/>
        <v>559000</v>
      </c>
    </row>
    <row r="54" spans="1:9" ht="12">
      <c r="A54" s="247">
        <v>3</v>
      </c>
      <c r="B54" s="242">
        <v>2023</v>
      </c>
      <c r="C54" s="272">
        <f aca="true" t="shared" si="9" ref="C54:I54">ROUND(C18,-3)</f>
        <v>3831000</v>
      </c>
      <c r="D54" s="273">
        <f t="shared" si="9"/>
        <v>740000</v>
      </c>
      <c r="E54" s="508">
        <f t="shared" si="9"/>
        <v>7000</v>
      </c>
      <c r="F54" s="270">
        <f t="shared" si="9"/>
        <v>2000</v>
      </c>
      <c r="G54" s="270">
        <f t="shared" si="9"/>
        <v>738000</v>
      </c>
      <c r="H54" s="270">
        <f t="shared" si="9"/>
        <v>637000</v>
      </c>
      <c r="I54" s="274">
        <f t="shared" si="9"/>
        <v>526000</v>
      </c>
    </row>
    <row r="55" spans="1:9" ht="12">
      <c r="A55" s="247">
        <v>4</v>
      </c>
      <c r="B55" s="242">
        <v>2024</v>
      </c>
      <c r="C55" s="272">
        <f aca="true" t="shared" si="10" ref="C55:I55">ROUND(C19,-3)</f>
        <v>3860000</v>
      </c>
      <c r="D55" s="273">
        <f t="shared" si="10"/>
        <v>745000</v>
      </c>
      <c r="E55" s="508">
        <f t="shared" si="10"/>
        <v>7000</v>
      </c>
      <c r="F55" s="270">
        <f t="shared" si="10"/>
        <v>2000</v>
      </c>
      <c r="G55" s="270">
        <f t="shared" si="10"/>
        <v>744000</v>
      </c>
      <c r="H55" s="270">
        <f t="shared" si="10"/>
        <v>623000</v>
      </c>
      <c r="I55" s="274">
        <f t="shared" si="10"/>
        <v>496000</v>
      </c>
    </row>
    <row r="56" spans="1:9" ht="12">
      <c r="A56" s="247">
        <v>5</v>
      </c>
      <c r="B56" s="242">
        <v>2025</v>
      </c>
      <c r="C56" s="272">
        <f aca="true" t="shared" si="11" ref="C56:I56">ROUND(C20,-3)</f>
        <v>3889000</v>
      </c>
      <c r="D56" s="273">
        <f t="shared" si="11"/>
        <v>751000</v>
      </c>
      <c r="E56" s="508">
        <f t="shared" si="11"/>
        <v>7000</v>
      </c>
      <c r="F56" s="270">
        <f t="shared" si="11"/>
        <v>2000</v>
      </c>
      <c r="G56" s="270">
        <f t="shared" si="11"/>
        <v>749000</v>
      </c>
      <c r="H56" s="270">
        <f t="shared" si="11"/>
        <v>609000</v>
      </c>
      <c r="I56" s="274">
        <f t="shared" si="11"/>
        <v>467000</v>
      </c>
    </row>
    <row r="57" spans="1:9" ht="12">
      <c r="A57" s="247">
        <v>6</v>
      </c>
      <c r="B57" s="242">
        <v>2026</v>
      </c>
      <c r="C57" s="272">
        <f aca="true" t="shared" si="12" ref="C57:I57">ROUND(C21,-3)</f>
        <v>3889000</v>
      </c>
      <c r="D57" s="273">
        <f t="shared" si="12"/>
        <v>751000</v>
      </c>
      <c r="E57" s="508">
        <f t="shared" si="12"/>
        <v>7000</v>
      </c>
      <c r="F57" s="270">
        <f t="shared" si="12"/>
        <v>2000</v>
      </c>
      <c r="G57" s="270">
        <f t="shared" si="12"/>
        <v>749000</v>
      </c>
      <c r="H57" s="270">
        <f t="shared" si="12"/>
        <v>591000</v>
      </c>
      <c r="I57" s="274">
        <f t="shared" si="12"/>
        <v>436000</v>
      </c>
    </row>
    <row r="58" spans="1:9" ht="12">
      <c r="A58" s="247">
        <v>7</v>
      </c>
      <c r="B58" s="242">
        <v>2027</v>
      </c>
      <c r="C58" s="272">
        <f aca="true" t="shared" si="13" ref="C58:I58">ROUND(C22,-3)</f>
        <v>3734000</v>
      </c>
      <c r="D58" s="273">
        <f t="shared" si="13"/>
        <v>721000</v>
      </c>
      <c r="E58" s="508">
        <f t="shared" si="13"/>
        <v>7000</v>
      </c>
      <c r="F58" s="270">
        <f t="shared" si="13"/>
        <v>2000</v>
      </c>
      <c r="G58" s="270">
        <f t="shared" si="13"/>
        <v>719000</v>
      </c>
      <c r="H58" s="270">
        <f t="shared" si="13"/>
        <v>551000</v>
      </c>
      <c r="I58" s="274">
        <f t="shared" si="13"/>
        <v>391000</v>
      </c>
    </row>
    <row r="59" spans="1:9" ht="12">
      <c r="A59" s="247">
        <v>8</v>
      </c>
      <c r="B59" s="242">
        <v>2028</v>
      </c>
      <c r="C59" s="272">
        <f aca="true" t="shared" si="14" ref="C59:I59">ROUND(C23,-3)</f>
        <v>3734000</v>
      </c>
      <c r="D59" s="273">
        <f t="shared" si="14"/>
        <v>721000</v>
      </c>
      <c r="E59" s="508">
        <f t="shared" si="14"/>
        <v>7000</v>
      </c>
      <c r="F59" s="270">
        <f t="shared" si="14"/>
        <v>2000</v>
      </c>
      <c r="G59" s="270">
        <f t="shared" si="14"/>
        <v>719000</v>
      </c>
      <c r="H59" s="270">
        <f t="shared" si="14"/>
        <v>535000</v>
      </c>
      <c r="I59" s="274">
        <f t="shared" si="14"/>
        <v>366000</v>
      </c>
    </row>
    <row r="60" spans="1:9" ht="12">
      <c r="A60" s="247">
        <v>9</v>
      </c>
      <c r="B60" s="242">
        <v>2029</v>
      </c>
      <c r="C60" s="272">
        <f aca="true" t="shared" si="15" ref="C60:I60">ROUND(C24,-3)</f>
        <v>3734000</v>
      </c>
      <c r="D60" s="273">
        <f t="shared" si="15"/>
        <v>721000</v>
      </c>
      <c r="E60" s="508">
        <f t="shared" si="15"/>
        <v>7000</v>
      </c>
      <c r="F60" s="270">
        <f t="shared" si="15"/>
        <v>2000</v>
      </c>
      <c r="G60" s="270">
        <f t="shared" si="15"/>
        <v>719000</v>
      </c>
      <c r="H60" s="270">
        <f t="shared" si="15"/>
        <v>520000</v>
      </c>
      <c r="I60" s="274">
        <f t="shared" si="15"/>
        <v>342000</v>
      </c>
    </row>
    <row r="61" spans="1:9" ht="12">
      <c r="A61" s="247">
        <v>10</v>
      </c>
      <c r="B61" s="242">
        <v>2030</v>
      </c>
      <c r="C61" s="272">
        <f aca="true" t="shared" si="16" ref="C61:I61">ROUND(C25,-3)</f>
        <v>3734000</v>
      </c>
      <c r="D61" s="273">
        <f t="shared" si="16"/>
        <v>721000</v>
      </c>
      <c r="E61" s="508">
        <f t="shared" si="16"/>
        <v>7000</v>
      </c>
      <c r="F61" s="270">
        <f t="shared" si="16"/>
        <v>2000</v>
      </c>
      <c r="G61" s="270">
        <f t="shared" si="16"/>
        <v>719000</v>
      </c>
      <c r="H61" s="270">
        <f t="shared" si="16"/>
        <v>505000</v>
      </c>
      <c r="I61" s="274">
        <f t="shared" si="16"/>
        <v>319000</v>
      </c>
    </row>
    <row r="62" spans="1:9" ht="12">
      <c r="A62" s="247">
        <v>11</v>
      </c>
      <c r="B62" s="242">
        <v>2031</v>
      </c>
      <c r="C62" s="272">
        <f aca="true" t="shared" si="17" ref="C62:I62">ROUND(C26,-3)</f>
        <v>3734000</v>
      </c>
      <c r="D62" s="273">
        <f t="shared" si="17"/>
        <v>721000</v>
      </c>
      <c r="E62" s="508">
        <f t="shared" si="17"/>
        <v>7000</v>
      </c>
      <c r="F62" s="270">
        <f t="shared" si="17"/>
        <v>2000</v>
      </c>
      <c r="G62" s="270">
        <f t="shared" si="17"/>
        <v>719000</v>
      </c>
      <c r="H62" s="270">
        <f t="shared" si="17"/>
        <v>490000</v>
      </c>
      <c r="I62" s="274">
        <f t="shared" si="17"/>
        <v>299000</v>
      </c>
    </row>
    <row r="63" spans="1:9" ht="12">
      <c r="A63" s="247">
        <v>12</v>
      </c>
      <c r="B63" s="242">
        <v>2032</v>
      </c>
      <c r="C63" s="272">
        <f aca="true" t="shared" si="18" ref="C63:I63">ROUND(C27,-3)</f>
        <v>3734000</v>
      </c>
      <c r="D63" s="273">
        <f t="shared" si="18"/>
        <v>721000</v>
      </c>
      <c r="E63" s="508">
        <f t="shared" si="18"/>
        <v>7000</v>
      </c>
      <c r="F63" s="270">
        <f t="shared" si="18"/>
        <v>2000</v>
      </c>
      <c r="G63" s="270">
        <f t="shared" si="18"/>
        <v>719000</v>
      </c>
      <c r="H63" s="270">
        <f t="shared" si="18"/>
        <v>476000</v>
      </c>
      <c r="I63" s="274">
        <f t="shared" si="18"/>
        <v>279000</v>
      </c>
    </row>
    <row r="64" spans="1:9" ht="12">
      <c r="A64" s="247">
        <v>13</v>
      </c>
      <c r="B64" s="242">
        <v>2033</v>
      </c>
      <c r="C64" s="272">
        <f aca="true" t="shared" si="19" ref="C64:I64">ROUND(C28,-3)</f>
        <v>3734000</v>
      </c>
      <c r="D64" s="273">
        <f t="shared" si="19"/>
        <v>721000</v>
      </c>
      <c r="E64" s="508">
        <f t="shared" si="19"/>
        <v>7000</v>
      </c>
      <c r="F64" s="270">
        <f t="shared" si="19"/>
        <v>2000</v>
      </c>
      <c r="G64" s="270">
        <f t="shared" si="19"/>
        <v>719000</v>
      </c>
      <c r="H64" s="270">
        <f t="shared" si="19"/>
        <v>462000</v>
      </c>
      <c r="I64" s="274">
        <f t="shared" si="19"/>
        <v>261000</v>
      </c>
    </row>
    <row r="65" spans="1:9" ht="12">
      <c r="A65" s="247">
        <v>14</v>
      </c>
      <c r="B65" s="242">
        <v>2034</v>
      </c>
      <c r="C65" s="272">
        <f aca="true" t="shared" si="20" ref="C65:I65">ROUND(C29,-3)</f>
        <v>3734000</v>
      </c>
      <c r="D65" s="273">
        <f t="shared" si="20"/>
        <v>721000</v>
      </c>
      <c r="E65" s="508">
        <f t="shared" si="20"/>
        <v>7000</v>
      </c>
      <c r="F65" s="270">
        <f t="shared" si="20"/>
        <v>2000</v>
      </c>
      <c r="G65" s="270">
        <f t="shared" si="20"/>
        <v>719000</v>
      </c>
      <c r="H65" s="270">
        <f t="shared" si="20"/>
        <v>448000</v>
      </c>
      <c r="I65" s="274">
        <f t="shared" si="20"/>
        <v>244000</v>
      </c>
    </row>
    <row r="66" spans="1:9" ht="12">
      <c r="A66" s="247">
        <v>15</v>
      </c>
      <c r="B66" s="242">
        <v>2035</v>
      </c>
      <c r="C66" s="272">
        <f aca="true" t="shared" si="21" ref="C66:I66">ROUND(C30,-3)</f>
        <v>3734000</v>
      </c>
      <c r="D66" s="273">
        <f t="shared" si="21"/>
        <v>721000</v>
      </c>
      <c r="E66" s="508">
        <f t="shared" si="21"/>
        <v>7000</v>
      </c>
      <c r="F66" s="270">
        <f t="shared" si="21"/>
        <v>2000</v>
      </c>
      <c r="G66" s="270">
        <f t="shared" si="21"/>
        <v>719000</v>
      </c>
      <c r="H66" s="270">
        <f t="shared" si="21"/>
        <v>435000</v>
      </c>
      <c r="I66" s="274">
        <f t="shared" si="21"/>
        <v>228000</v>
      </c>
    </row>
    <row r="67" spans="1:9" ht="12">
      <c r="A67" s="247">
        <v>16</v>
      </c>
      <c r="B67" s="242">
        <v>2036</v>
      </c>
      <c r="C67" s="272">
        <f aca="true" t="shared" si="22" ref="C67:I67">ROUND(C31,-3)</f>
        <v>3734000</v>
      </c>
      <c r="D67" s="273">
        <f t="shared" si="22"/>
        <v>721000</v>
      </c>
      <c r="E67" s="508">
        <f t="shared" si="22"/>
        <v>7000</v>
      </c>
      <c r="F67" s="270">
        <f t="shared" si="22"/>
        <v>2000</v>
      </c>
      <c r="G67" s="270">
        <f t="shared" si="22"/>
        <v>719000</v>
      </c>
      <c r="H67" s="270">
        <f t="shared" si="22"/>
        <v>423000</v>
      </c>
      <c r="I67" s="274">
        <f t="shared" si="22"/>
        <v>213000</v>
      </c>
    </row>
    <row r="68" spans="1:9" ht="12">
      <c r="A68" s="247">
        <v>17</v>
      </c>
      <c r="B68" s="242">
        <v>2037</v>
      </c>
      <c r="C68" s="272">
        <f aca="true" t="shared" si="23" ref="C68:I68">ROUND(C32,-3)</f>
        <v>3734000</v>
      </c>
      <c r="D68" s="273">
        <f t="shared" si="23"/>
        <v>721000</v>
      </c>
      <c r="E68" s="508">
        <f t="shared" si="23"/>
        <v>7000</v>
      </c>
      <c r="F68" s="270">
        <f t="shared" si="23"/>
        <v>2000</v>
      </c>
      <c r="G68" s="270">
        <f t="shared" si="23"/>
        <v>719000</v>
      </c>
      <c r="H68" s="270">
        <f t="shared" si="23"/>
        <v>410000</v>
      </c>
      <c r="I68" s="274">
        <f t="shared" si="23"/>
        <v>199000</v>
      </c>
    </row>
    <row r="69" spans="1:9" ht="12">
      <c r="A69" s="247">
        <v>18</v>
      </c>
      <c r="B69" s="242">
        <v>2038</v>
      </c>
      <c r="C69" s="272">
        <f aca="true" t="shared" si="24" ref="C69:I69">ROUND(C33,-3)</f>
        <v>3734000</v>
      </c>
      <c r="D69" s="273">
        <f t="shared" si="24"/>
        <v>721000</v>
      </c>
      <c r="E69" s="508">
        <f t="shared" si="24"/>
        <v>7000</v>
      </c>
      <c r="F69" s="270">
        <f t="shared" si="24"/>
        <v>2000</v>
      </c>
      <c r="G69" s="270">
        <f t="shared" si="24"/>
        <v>719000</v>
      </c>
      <c r="H69" s="270">
        <f t="shared" si="24"/>
        <v>398000</v>
      </c>
      <c r="I69" s="274">
        <f t="shared" si="24"/>
        <v>186000</v>
      </c>
    </row>
    <row r="70" spans="1:9" ht="12">
      <c r="A70" s="247">
        <v>19</v>
      </c>
      <c r="B70" s="242">
        <v>2039</v>
      </c>
      <c r="C70" s="272">
        <f aca="true" t="shared" si="25" ref="C70:I70">ROUND(C34,-3)</f>
        <v>3734000</v>
      </c>
      <c r="D70" s="273">
        <f t="shared" si="25"/>
        <v>721000</v>
      </c>
      <c r="E70" s="508">
        <f t="shared" si="25"/>
        <v>7000</v>
      </c>
      <c r="F70" s="270">
        <f t="shared" si="25"/>
        <v>2000</v>
      </c>
      <c r="G70" s="270">
        <f t="shared" si="25"/>
        <v>719000</v>
      </c>
      <c r="H70" s="270">
        <f t="shared" si="25"/>
        <v>387000</v>
      </c>
      <c r="I70" s="274">
        <f t="shared" si="25"/>
        <v>174000</v>
      </c>
    </row>
    <row r="71" spans="1:9" ht="12">
      <c r="A71" s="247">
        <v>20</v>
      </c>
      <c r="B71" s="242">
        <v>2040</v>
      </c>
      <c r="C71" s="272">
        <f aca="true" t="shared" si="26" ref="C71:I71">ROUND(C35,-3)</f>
        <v>3734000</v>
      </c>
      <c r="D71" s="273">
        <f t="shared" si="26"/>
        <v>721000</v>
      </c>
      <c r="E71" s="508">
        <f t="shared" si="26"/>
        <v>7000</v>
      </c>
      <c r="F71" s="270">
        <f t="shared" si="26"/>
        <v>2000</v>
      </c>
      <c r="G71" s="270">
        <f t="shared" si="26"/>
        <v>719000</v>
      </c>
      <c r="H71" s="270">
        <f t="shared" si="26"/>
        <v>375000</v>
      </c>
      <c r="I71" s="274">
        <f t="shared" si="26"/>
        <v>162000</v>
      </c>
    </row>
    <row r="72" spans="1:9" ht="12">
      <c r="A72" s="247">
        <v>21</v>
      </c>
      <c r="B72" s="242">
        <v>2041</v>
      </c>
      <c r="C72" s="272">
        <f aca="true" t="shared" si="27" ref="C72:I72">ROUND(C36,-3)</f>
        <v>3734000</v>
      </c>
      <c r="D72" s="273">
        <f t="shared" si="27"/>
        <v>721000</v>
      </c>
      <c r="E72" s="508">
        <f t="shared" si="27"/>
        <v>7000</v>
      </c>
      <c r="F72" s="270">
        <f t="shared" si="27"/>
        <v>2000</v>
      </c>
      <c r="G72" s="270">
        <f t="shared" si="27"/>
        <v>719000</v>
      </c>
      <c r="H72" s="270">
        <f t="shared" si="27"/>
        <v>364000</v>
      </c>
      <c r="I72" s="274">
        <f t="shared" si="27"/>
        <v>152000</v>
      </c>
    </row>
    <row r="73" spans="1:9" ht="12">
      <c r="A73" s="247">
        <v>22</v>
      </c>
      <c r="B73" s="242">
        <v>2042</v>
      </c>
      <c r="C73" s="272">
        <f aca="true" t="shared" si="28" ref="C73:I73">ROUND(C37,-3)</f>
        <v>3734000</v>
      </c>
      <c r="D73" s="273">
        <f t="shared" si="28"/>
        <v>721000</v>
      </c>
      <c r="E73" s="508">
        <f t="shared" si="28"/>
        <v>7000</v>
      </c>
      <c r="F73" s="270">
        <f t="shared" si="28"/>
        <v>2000</v>
      </c>
      <c r="G73" s="270">
        <f t="shared" si="28"/>
        <v>719000</v>
      </c>
      <c r="H73" s="270">
        <f t="shared" si="28"/>
        <v>354000</v>
      </c>
      <c r="I73" s="274">
        <f t="shared" si="28"/>
        <v>142000</v>
      </c>
    </row>
    <row r="74" spans="1:9" ht="12">
      <c r="A74" s="247">
        <v>23</v>
      </c>
      <c r="B74" s="242">
        <v>2043</v>
      </c>
      <c r="C74" s="272">
        <f aca="true" t="shared" si="29" ref="C74:I74">ROUND(C38,-3)</f>
        <v>3734000</v>
      </c>
      <c r="D74" s="273">
        <f t="shared" si="29"/>
        <v>721000</v>
      </c>
      <c r="E74" s="508">
        <f t="shared" si="29"/>
        <v>7000</v>
      </c>
      <c r="F74" s="270">
        <f t="shared" si="29"/>
        <v>2000</v>
      </c>
      <c r="G74" s="270">
        <f t="shared" si="29"/>
        <v>719000</v>
      </c>
      <c r="H74" s="270">
        <f t="shared" si="29"/>
        <v>344000</v>
      </c>
      <c r="I74" s="274">
        <f t="shared" si="29"/>
        <v>133000</v>
      </c>
    </row>
    <row r="75" spans="1:9" ht="12">
      <c r="A75" s="247">
        <v>24</v>
      </c>
      <c r="B75" s="242">
        <v>2044</v>
      </c>
      <c r="C75" s="272">
        <f aca="true" t="shared" si="30" ref="C75:I75">ROUND(C39,-3)</f>
        <v>3734000</v>
      </c>
      <c r="D75" s="273">
        <f t="shared" si="30"/>
        <v>721000</v>
      </c>
      <c r="E75" s="508">
        <f t="shared" si="30"/>
        <v>7000</v>
      </c>
      <c r="F75" s="270">
        <f t="shared" si="30"/>
        <v>2000</v>
      </c>
      <c r="G75" s="270">
        <f t="shared" si="30"/>
        <v>719000</v>
      </c>
      <c r="H75" s="270">
        <f t="shared" si="30"/>
        <v>334000</v>
      </c>
      <c r="I75" s="274">
        <f t="shared" si="30"/>
        <v>124000</v>
      </c>
    </row>
    <row r="76" spans="1:9" ht="12">
      <c r="A76" s="247">
        <v>25</v>
      </c>
      <c r="B76" s="242">
        <v>2045</v>
      </c>
      <c r="C76" s="272">
        <f aca="true" t="shared" si="31" ref="C76:I76">ROUND(C40,-3)</f>
        <v>3734000</v>
      </c>
      <c r="D76" s="273">
        <f t="shared" si="31"/>
        <v>721000</v>
      </c>
      <c r="E76" s="508">
        <f t="shared" si="31"/>
        <v>7000</v>
      </c>
      <c r="F76" s="270">
        <f t="shared" si="31"/>
        <v>2000</v>
      </c>
      <c r="G76" s="270">
        <f t="shared" si="31"/>
        <v>719000</v>
      </c>
      <c r="H76" s="270">
        <f t="shared" si="31"/>
        <v>324000</v>
      </c>
      <c r="I76" s="274">
        <f t="shared" si="31"/>
        <v>116000</v>
      </c>
    </row>
    <row r="77" spans="1:9" ht="12">
      <c r="A77" s="247">
        <v>26</v>
      </c>
      <c r="B77" s="242">
        <v>2046</v>
      </c>
      <c r="C77" s="272">
        <f aca="true" t="shared" si="32" ref="C77:I77">ROUND(C41,-3)</f>
        <v>3734000</v>
      </c>
      <c r="D77" s="273">
        <f t="shared" si="32"/>
        <v>721000</v>
      </c>
      <c r="E77" s="508">
        <f t="shared" si="32"/>
        <v>7000</v>
      </c>
      <c r="F77" s="270">
        <f t="shared" si="32"/>
        <v>2000</v>
      </c>
      <c r="G77" s="270">
        <f t="shared" si="32"/>
        <v>719000</v>
      </c>
      <c r="H77" s="270">
        <f t="shared" si="32"/>
        <v>314000</v>
      </c>
      <c r="I77" s="274">
        <f t="shared" si="32"/>
        <v>108000</v>
      </c>
    </row>
    <row r="78" spans="1:9" ht="12">
      <c r="A78" s="247">
        <v>27</v>
      </c>
      <c r="B78" s="242">
        <v>2047</v>
      </c>
      <c r="C78" s="272">
        <f aca="true" t="shared" si="33" ref="C78:I78">ROUND(C42,-3)</f>
        <v>3734000</v>
      </c>
      <c r="D78" s="273">
        <f t="shared" si="33"/>
        <v>721000</v>
      </c>
      <c r="E78" s="508">
        <f t="shared" si="33"/>
        <v>7000</v>
      </c>
      <c r="F78" s="270">
        <f t="shared" si="33"/>
        <v>2000</v>
      </c>
      <c r="G78" s="270">
        <f t="shared" si="33"/>
        <v>719000</v>
      </c>
      <c r="H78" s="270">
        <f t="shared" si="33"/>
        <v>305000</v>
      </c>
      <c r="I78" s="274">
        <f t="shared" si="33"/>
        <v>101000</v>
      </c>
    </row>
    <row r="79" spans="1:9" ht="12">
      <c r="A79" s="247">
        <v>28</v>
      </c>
      <c r="B79" s="242">
        <v>2048</v>
      </c>
      <c r="C79" s="272">
        <f aca="true" t="shared" si="34" ref="C79:I79">ROUND(C43,-3)</f>
        <v>3734000</v>
      </c>
      <c r="D79" s="273">
        <f t="shared" si="34"/>
        <v>721000</v>
      </c>
      <c r="E79" s="508">
        <f t="shared" si="34"/>
        <v>7000</v>
      </c>
      <c r="F79" s="270">
        <f t="shared" si="34"/>
        <v>2000</v>
      </c>
      <c r="G79" s="270">
        <f t="shared" si="34"/>
        <v>719000</v>
      </c>
      <c r="H79" s="270">
        <f t="shared" si="34"/>
        <v>296000</v>
      </c>
      <c r="I79" s="274">
        <f t="shared" si="34"/>
        <v>94000</v>
      </c>
    </row>
    <row r="80" spans="1:9" ht="12">
      <c r="A80" s="247">
        <v>29</v>
      </c>
      <c r="B80" s="242">
        <v>2049</v>
      </c>
      <c r="C80" s="272">
        <f aca="true" t="shared" si="35" ref="C80:I80">ROUND(C44,-3)</f>
        <v>3734000</v>
      </c>
      <c r="D80" s="273">
        <f t="shared" si="35"/>
        <v>721000</v>
      </c>
      <c r="E80" s="508">
        <f t="shared" si="35"/>
        <v>7000</v>
      </c>
      <c r="F80" s="270">
        <f t="shared" si="35"/>
        <v>2000</v>
      </c>
      <c r="G80" s="270">
        <f t="shared" si="35"/>
        <v>719000</v>
      </c>
      <c r="H80" s="270">
        <f t="shared" si="35"/>
        <v>288000</v>
      </c>
      <c r="I80" s="274">
        <f t="shared" si="35"/>
        <v>88000</v>
      </c>
    </row>
    <row r="81" spans="1:9" ht="12">
      <c r="A81" s="247">
        <v>30</v>
      </c>
      <c r="B81" s="242">
        <v>2050</v>
      </c>
      <c r="C81" s="272">
        <f aca="true" t="shared" si="36" ref="C81:I81">ROUND(C45,-3)</f>
        <v>3734000</v>
      </c>
      <c r="D81" s="273">
        <f t="shared" si="36"/>
        <v>721000</v>
      </c>
      <c r="E81" s="508">
        <f t="shared" si="36"/>
        <v>7000</v>
      </c>
      <c r="F81" s="270">
        <f t="shared" si="36"/>
        <v>2000</v>
      </c>
      <c r="G81" s="270">
        <f t="shared" si="36"/>
        <v>719000</v>
      </c>
      <c r="H81" s="270">
        <f t="shared" si="36"/>
        <v>279000</v>
      </c>
      <c r="I81" s="274">
        <f t="shared" si="36"/>
        <v>83000</v>
      </c>
    </row>
    <row r="82" spans="1:9" ht="12.75" thickBot="1">
      <c r="A82" s="637" t="s">
        <v>0</v>
      </c>
      <c r="B82" s="638"/>
      <c r="C82" s="280">
        <f aca="true" t="shared" si="37" ref="C82:I82">ROUND(C46,-3)</f>
        <v>112671000</v>
      </c>
      <c r="D82" s="281">
        <f t="shared" si="37"/>
        <v>21754000</v>
      </c>
      <c r="E82" s="281">
        <f t="shared" si="37"/>
        <v>210000</v>
      </c>
      <c r="F82" s="281">
        <f t="shared" si="37"/>
        <v>50000</v>
      </c>
      <c r="G82" s="281">
        <f t="shared" si="37"/>
        <v>21704000</v>
      </c>
      <c r="H82" s="281">
        <f t="shared" si="37"/>
        <v>13393000</v>
      </c>
      <c r="I82" s="282">
        <f t="shared" si="37"/>
        <v>7878000</v>
      </c>
    </row>
  </sheetData>
  <sheetProtection/>
  <mergeCells count="10">
    <mergeCell ref="A82:B82"/>
    <mergeCell ref="Q2:Q4"/>
    <mergeCell ref="K2:P2"/>
    <mergeCell ref="E2:J2"/>
    <mergeCell ref="A2:D2"/>
    <mergeCell ref="A46:B46"/>
    <mergeCell ref="A7:D7"/>
    <mergeCell ref="E7:J7"/>
    <mergeCell ref="K7:P7"/>
    <mergeCell ref="Q7:Q9"/>
  </mergeCells>
  <printOptions/>
  <pageMargins left="0.7" right="0.7" top="0.75" bottom="0.75" header="0.3" footer="0.3"/>
  <pageSetup horizontalDpi="300" verticalDpi="300" orientation="portrait" r:id="rId1"/>
</worksheet>
</file>

<file path=xl/worksheets/sheet13.xml><?xml version="1.0" encoding="utf-8"?>
<worksheet xmlns="http://schemas.openxmlformats.org/spreadsheetml/2006/main" xmlns:r="http://schemas.openxmlformats.org/officeDocument/2006/relationships">
  <dimension ref="A1:K71"/>
  <sheetViews>
    <sheetView zoomScalePageLayoutView="0" workbookViewId="0" topLeftCell="B1">
      <selection activeCell="H16" sqref="H16"/>
    </sheetView>
  </sheetViews>
  <sheetFormatPr defaultColWidth="9.140625" defaultRowHeight="12.75"/>
  <cols>
    <col min="1" max="2" width="9.7109375" style="133" customWidth="1"/>
    <col min="3" max="3" width="12.7109375" style="80" customWidth="1"/>
    <col min="4" max="4" width="12.7109375" style="219" customWidth="1"/>
    <col min="5" max="6" width="12.7109375" style="220" customWidth="1"/>
    <col min="7" max="7" width="12.7109375" style="524" customWidth="1"/>
    <col min="8" max="8" width="10.8515625" style="238" bestFit="1" customWidth="1"/>
    <col min="9" max="9" width="13.421875" style="238" bestFit="1" customWidth="1"/>
    <col min="10" max="11" width="12.28125" style="238" bestFit="1" customWidth="1"/>
    <col min="12" max="16384" width="9.140625" style="80" customWidth="1"/>
  </cols>
  <sheetData>
    <row r="1" spans="1:11" s="159" customFormat="1" ht="60">
      <c r="A1" s="156" t="s">
        <v>64</v>
      </c>
      <c r="B1" s="157" t="s">
        <v>1</v>
      </c>
      <c r="C1" s="157" t="s">
        <v>85</v>
      </c>
      <c r="D1" s="221" t="s">
        <v>398</v>
      </c>
      <c r="E1" s="222" t="s">
        <v>488</v>
      </c>
      <c r="F1" s="509" t="s">
        <v>489</v>
      </c>
      <c r="G1" s="522" t="s">
        <v>490</v>
      </c>
      <c r="H1" s="509" t="s">
        <v>491</v>
      </c>
      <c r="I1" s="509" t="s">
        <v>492</v>
      </c>
      <c r="J1" s="222" t="s">
        <v>294</v>
      </c>
      <c r="K1" s="223" t="s">
        <v>295</v>
      </c>
    </row>
    <row r="2" spans="1:11" ht="12.75" customHeight="1">
      <c r="A2" s="169">
        <v>-2</v>
      </c>
      <c r="B2" s="170">
        <v>2018</v>
      </c>
      <c r="C2" s="171">
        <f>'Avoided Truck Miles'!Y3</f>
        <v>0</v>
      </c>
      <c r="D2" s="224">
        <f>Inputs!$B$32</f>
        <v>0.1451637764932563</v>
      </c>
      <c r="E2" s="225">
        <f>C2*D2</f>
        <v>0</v>
      </c>
      <c r="F2" s="225">
        <f>'Avoided Truck Miles'!AA3</f>
        <v>0</v>
      </c>
      <c r="G2" s="521">
        <f>Inputs!$B$33</f>
        <v>4.44</v>
      </c>
      <c r="H2" s="234">
        <f>F2*G2</f>
        <v>0</v>
      </c>
      <c r="I2" s="234">
        <f>E2-H2</f>
        <v>0</v>
      </c>
      <c r="J2" s="225">
        <f>I2/((1+Inputs!$B$6)^(B2-Inputs!$B$10))</f>
        <v>0</v>
      </c>
      <c r="K2" s="226">
        <f>I2/((1+Inputs!$B$5)^(B2-Inputs!$B$10))</f>
        <v>0</v>
      </c>
    </row>
    <row r="3" spans="1:11" ht="12.75" customHeight="1">
      <c r="A3" s="169">
        <v>-1</v>
      </c>
      <c r="B3" s="170">
        <v>2019</v>
      </c>
      <c r="C3" s="171">
        <f>'Avoided Truck Miles'!Y4</f>
        <v>0</v>
      </c>
      <c r="D3" s="224">
        <f>Inputs!$B$32</f>
        <v>0.1451637764932563</v>
      </c>
      <c r="E3" s="225">
        <f aca="true" t="shared" si="0" ref="E3:E32">C3*D3</f>
        <v>0</v>
      </c>
      <c r="F3" s="225">
        <f>'Avoided Truck Miles'!AA4</f>
        <v>0</v>
      </c>
      <c r="G3" s="521">
        <f>Inputs!$B$33</f>
        <v>4.44</v>
      </c>
      <c r="H3" s="234">
        <f aca="true" t="shared" si="1" ref="H3:H34">F3*G3</f>
        <v>0</v>
      </c>
      <c r="I3" s="234">
        <f aca="true" t="shared" si="2" ref="I3:I34">E3-H3</f>
        <v>0</v>
      </c>
      <c r="J3" s="225">
        <f>I3/((1+Inputs!$B$6)^(B3-Inputs!$B$10))</f>
        <v>0</v>
      </c>
      <c r="K3" s="226">
        <f>I3/((1+Inputs!$B$5)^(B3-Inputs!$B$10))</f>
        <v>0</v>
      </c>
    </row>
    <row r="4" spans="1:11" ht="12">
      <c r="A4" s="169">
        <v>0</v>
      </c>
      <c r="B4" s="170">
        <v>2020</v>
      </c>
      <c r="C4" s="171">
        <f>'Avoided Truck Miles'!Y5</f>
        <v>0</v>
      </c>
      <c r="D4" s="224">
        <f>Inputs!$B$32</f>
        <v>0.1451637764932563</v>
      </c>
      <c r="E4" s="225">
        <f>C4*D4</f>
        <v>0</v>
      </c>
      <c r="F4" s="225">
        <f>'Avoided Truck Miles'!AA5</f>
        <v>0</v>
      </c>
      <c r="G4" s="521">
        <f>Inputs!$B$33</f>
        <v>4.44</v>
      </c>
      <c r="H4" s="234">
        <f t="shared" si="1"/>
        <v>0</v>
      </c>
      <c r="I4" s="234">
        <f t="shared" si="2"/>
        <v>0</v>
      </c>
      <c r="J4" s="225">
        <f>I4/((1+Inputs!$B$6)^(B4-Inputs!$B$10))</f>
        <v>0</v>
      </c>
      <c r="K4" s="226">
        <f>I4/((1+Inputs!$B$5)^(B4-Inputs!$B$10))</f>
        <v>0</v>
      </c>
    </row>
    <row r="5" spans="1:11" ht="12">
      <c r="A5" s="169">
        <v>1</v>
      </c>
      <c r="B5" s="170">
        <v>2021</v>
      </c>
      <c r="C5" s="171">
        <f>'Avoided Truck Miles'!Y6</f>
        <v>3773146.3483552905</v>
      </c>
      <c r="D5" s="224">
        <f>Inputs!$B$32</f>
        <v>0.1451637764932563</v>
      </c>
      <c r="E5" s="225">
        <f t="shared" si="0"/>
        <v>547724.1731889935</v>
      </c>
      <c r="F5" s="225">
        <f>'Avoided Truck Miles'!AA6</f>
        <v>7009.506797267927</v>
      </c>
      <c r="G5" s="521">
        <f>Inputs!$B$33</f>
        <v>4.44</v>
      </c>
      <c r="H5" s="234">
        <f t="shared" si="1"/>
        <v>31122.2101798696</v>
      </c>
      <c r="I5" s="234">
        <f t="shared" si="2"/>
        <v>516601.96300912387</v>
      </c>
      <c r="J5" s="225">
        <f>I5/((1+Inputs!$B$6)^(B5-Inputs!$B$10))</f>
        <v>472763.9776532692</v>
      </c>
      <c r="K5" s="226">
        <f>I5/((1+Inputs!$B$5)^(B5-Inputs!$B$10))</f>
        <v>421701.08560199424</v>
      </c>
    </row>
    <row r="6" spans="1:11" ht="12">
      <c r="A6" s="169">
        <v>2</v>
      </c>
      <c r="B6" s="170">
        <v>2022</v>
      </c>
      <c r="C6" s="171">
        <f>'Avoided Truck Miles'!Y7</f>
        <v>3802208.8483552905</v>
      </c>
      <c r="D6" s="224">
        <f>Inputs!$B$32</f>
        <v>0.1451637764932563</v>
      </c>
      <c r="E6" s="225">
        <f t="shared" si="0"/>
        <v>551942.9954433287</v>
      </c>
      <c r="F6" s="225">
        <f>'Avoided Truck Miles'!AA7</f>
        <v>7009.506797267927</v>
      </c>
      <c r="G6" s="521">
        <f>Inputs!$B$33</f>
        <v>4.44</v>
      </c>
      <c r="H6" s="234">
        <f t="shared" si="1"/>
        <v>31122.2101798696</v>
      </c>
      <c r="I6" s="234">
        <f t="shared" si="2"/>
        <v>520820.78526345914</v>
      </c>
      <c r="J6" s="225">
        <f>I6/((1+Inputs!$B$6)^(B6-Inputs!$B$10))</f>
        <v>462742.52199186175</v>
      </c>
      <c r="K6" s="226">
        <f>I6/((1+Inputs!$B$5)^(B6-Inputs!$B$10))</f>
        <v>397331.6834123253</v>
      </c>
    </row>
    <row r="7" spans="1:11" ht="12">
      <c r="A7" s="169">
        <v>3</v>
      </c>
      <c r="B7" s="170">
        <v>2023</v>
      </c>
      <c r="C7" s="171">
        <f>'Avoided Truck Miles'!Y8</f>
        <v>3831271.3483552905</v>
      </c>
      <c r="D7" s="224">
        <f>Inputs!$B$32</f>
        <v>0.1451637764932563</v>
      </c>
      <c r="E7" s="225">
        <f t="shared" si="0"/>
        <v>556161.817697664</v>
      </c>
      <c r="F7" s="225">
        <f>'Avoided Truck Miles'!AA8</f>
        <v>7009.506797267927</v>
      </c>
      <c r="G7" s="521">
        <f>Inputs!$B$33</f>
        <v>4.44</v>
      </c>
      <c r="H7" s="234">
        <f t="shared" si="1"/>
        <v>31122.2101798696</v>
      </c>
      <c r="I7" s="234">
        <f t="shared" si="2"/>
        <v>525039.6075177945</v>
      </c>
      <c r="J7" s="225">
        <f>I7/((1+Inputs!$B$6)^(B7-Inputs!$B$10))</f>
        <v>452903.7775944633</v>
      </c>
      <c r="K7" s="226">
        <f>I7/((1+Inputs!$B$5)^(B7-Inputs!$B$10))</f>
        <v>374345.983841717</v>
      </c>
    </row>
    <row r="8" spans="1:11" ht="12">
      <c r="A8" s="169">
        <v>4</v>
      </c>
      <c r="B8" s="170">
        <v>2024</v>
      </c>
      <c r="C8" s="171">
        <f>'Avoided Truck Miles'!Y9</f>
        <v>3860333.8483552905</v>
      </c>
      <c r="D8" s="224">
        <f>Inputs!$B$32</f>
        <v>0.1451637764932563</v>
      </c>
      <c r="E8" s="225">
        <f t="shared" si="0"/>
        <v>560380.6399519993</v>
      </c>
      <c r="F8" s="225">
        <f>'Avoided Truck Miles'!AA9</f>
        <v>7009.506797267927</v>
      </c>
      <c r="G8" s="521">
        <f>Inputs!$B$33</f>
        <v>4.44</v>
      </c>
      <c r="H8" s="234">
        <f t="shared" si="1"/>
        <v>31122.2101798696</v>
      </c>
      <c r="I8" s="234">
        <f t="shared" si="2"/>
        <v>529258.4297721297</v>
      </c>
      <c r="J8" s="225">
        <f>I8/((1+Inputs!$B$6)^(B8-Inputs!$B$10))</f>
        <v>443245.6026512702</v>
      </c>
      <c r="K8" s="226">
        <f>I8/((1+Inputs!$B$5)^(B8-Inputs!$B$10))</f>
        <v>352667.23906799644</v>
      </c>
    </row>
    <row r="9" spans="1:11" ht="12">
      <c r="A9" s="169">
        <v>5</v>
      </c>
      <c r="B9" s="170">
        <v>2025</v>
      </c>
      <c r="C9" s="171">
        <f>'Avoided Truck Miles'!Y10</f>
        <v>3889396.3483552905</v>
      </c>
      <c r="D9" s="224">
        <f>Inputs!$B$32</f>
        <v>0.1451637764932563</v>
      </c>
      <c r="E9" s="225">
        <f t="shared" si="0"/>
        <v>564599.4622063346</v>
      </c>
      <c r="F9" s="225">
        <f>'Avoided Truck Miles'!AA10</f>
        <v>7009.506797267927</v>
      </c>
      <c r="G9" s="521">
        <f>Inputs!$B$33</f>
        <v>4.44</v>
      </c>
      <c r="H9" s="234">
        <f t="shared" si="1"/>
        <v>31122.2101798696</v>
      </c>
      <c r="I9" s="234">
        <f t="shared" si="2"/>
        <v>533477.252026465</v>
      </c>
      <c r="J9" s="225">
        <f>I9/((1+Inputs!$B$6)^(B9-Inputs!$B$10))</f>
        <v>433765.82511749765</v>
      </c>
      <c r="K9" s="226">
        <f>I9/((1+Inputs!$B$5)^(B9-Inputs!$B$10))</f>
        <v>332222.8210007821</v>
      </c>
    </row>
    <row r="10" spans="1:11" ht="12">
      <c r="A10" s="169">
        <v>6</v>
      </c>
      <c r="B10" s="170">
        <v>2026</v>
      </c>
      <c r="C10" s="171">
        <f>'Avoided Truck Miles'!Y11</f>
        <v>3889396.3483552905</v>
      </c>
      <c r="D10" s="224">
        <f>Inputs!$B$32</f>
        <v>0.1451637764932563</v>
      </c>
      <c r="E10" s="225">
        <f t="shared" si="0"/>
        <v>564599.4622063346</v>
      </c>
      <c r="F10" s="225">
        <f>'Avoided Truck Miles'!AA11</f>
        <v>7009.506797267927</v>
      </c>
      <c r="G10" s="521">
        <f>Inputs!$B$33</f>
        <v>4.44</v>
      </c>
      <c r="H10" s="234">
        <f t="shared" si="1"/>
        <v>31122.2101798696</v>
      </c>
      <c r="I10" s="234">
        <f t="shared" si="2"/>
        <v>533477.252026465</v>
      </c>
      <c r="J10" s="225">
        <f>I10/((1+Inputs!$B$6)^(B10-Inputs!$B$10))</f>
        <v>421131.86904611427</v>
      </c>
      <c r="K10" s="226">
        <f>I10/((1+Inputs!$B$5)^(B10-Inputs!$B$10))</f>
        <v>310488.61775774026</v>
      </c>
    </row>
    <row r="11" spans="1:11" ht="12">
      <c r="A11" s="169">
        <v>7</v>
      </c>
      <c r="B11" s="170">
        <v>2027</v>
      </c>
      <c r="C11" s="171">
        <f>'Avoided Truck Miles'!Y12</f>
        <v>3734396.3483552905</v>
      </c>
      <c r="D11" s="224">
        <f>Inputs!$B$32</f>
        <v>0.1451637764932563</v>
      </c>
      <c r="E11" s="225">
        <f t="shared" si="0"/>
        <v>542099.0768498798</v>
      </c>
      <c r="F11" s="225">
        <f>'Avoided Truck Miles'!AA12</f>
        <v>7009.506797267927</v>
      </c>
      <c r="G11" s="521">
        <f>Inputs!$B$33</f>
        <v>4.44</v>
      </c>
      <c r="H11" s="234">
        <f t="shared" si="1"/>
        <v>31122.2101798696</v>
      </c>
      <c r="I11" s="234">
        <f t="shared" si="2"/>
        <v>510976.8666700102</v>
      </c>
      <c r="J11" s="225">
        <f>I11/((1+Inputs!$B$6)^(B11-Inputs!$B$10))</f>
        <v>391621.22045641433</v>
      </c>
      <c r="K11" s="226">
        <f>I11/((1+Inputs!$B$5)^(B11-Inputs!$B$10))</f>
        <v>277937.55946173985</v>
      </c>
    </row>
    <row r="12" spans="1:11" ht="12">
      <c r="A12" s="169">
        <v>8</v>
      </c>
      <c r="B12" s="170">
        <v>2028</v>
      </c>
      <c r="C12" s="171">
        <f>'Avoided Truck Miles'!Y13</f>
        <v>3734396.3483552905</v>
      </c>
      <c r="D12" s="224">
        <f>Inputs!$B$32</f>
        <v>0.1451637764932563</v>
      </c>
      <c r="E12" s="225">
        <f t="shared" si="0"/>
        <v>542099.0768498798</v>
      </c>
      <c r="F12" s="225">
        <f>'Avoided Truck Miles'!AA13</f>
        <v>7009.506797267927</v>
      </c>
      <c r="G12" s="521">
        <f>Inputs!$B$33</f>
        <v>4.44</v>
      </c>
      <c r="H12" s="234">
        <f t="shared" si="1"/>
        <v>31122.2101798696</v>
      </c>
      <c r="I12" s="234">
        <f t="shared" si="2"/>
        <v>510976.8666700102</v>
      </c>
      <c r="J12" s="225">
        <f>I12/((1+Inputs!$B$6)^(B12-Inputs!$B$10))</f>
        <v>380214.77714214986</v>
      </c>
      <c r="K12" s="226">
        <f>I12/((1+Inputs!$B$5)^(B12-Inputs!$B$10))</f>
        <v>259754.72846891577</v>
      </c>
    </row>
    <row r="13" spans="1:11" ht="12">
      <c r="A13" s="169">
        <v>9</v>
      </c>
      <c r="B13" s="170">
        <v>2029</v>
      </c>
      <c r="C13" s="171">
        <f>'Avoided Truck Miles'!Y14</f>
        <v>3734396.3483552905</v>
      </c>
      <c r="D13" s="224">
        <f>Inputs!$B$32</f>
        <v>0.1451637764932563</v>
      </c>
      <c r="E13" s="225">
        <f t="shared" si="0"/>
        <v>542099.0768498798</v>
      </c>
      <c r="F13" s="225">
        <f>'Avoided Truck Miles'!AA14</f>
        <v>7009.506797267927</v>
      </c>
      <c r="G13" s="521">
        <f>Inputs!$B$33</f>
        <v>4.44</v>
      </c>
      <c r="H13" s="234">
        <f t="shared" si="1"/>
        <v>31122.2101798696</v>
      </c>
      <c r="I13" s="234">
        <f t="shared" si="2"/>
        <v>510976.8666700102</v>
      </c>
      <c r="J13" s="225">
        <f>I13/((1+Inputs!$B$6)^(B13-Inputs!$B$10))</f>
        <v>369140.5603321843</v>
      </c>
      <c r="K13" s="226">
        <f>I13/((1+Inputs!$B$5)^(B13-Inputs!$B$10))</f>
        <v>242761.42847562218</v>
      </c>
    </row>
    <row r="14" spans="1:11" ht="12">
      <c r="A14" s="169">
        <v>10</v>
      </c>
      <c r="B14" s="170">
        <v>2030</v>
      </c>
      <c r="C14" s="171">
        <f>'Avoided Truck Miles'!Y15</f>
        <v>3734396.3483552905</v>
      </c>
      <c r="D14" s="224">
        <f>Inputs!$B$32</f>
        <v>0.1451637764932563</v>
      </c>
      <c r="E14" s="225">
        <f t="shared" si="0"/>
        <v>542099.0768498798</v>
      </c>
      <c r="F14" s="225">
        <f>'Avoided Truck Miles'!AA15</f>
        <v>7009.506797267927</v>
      </c>
      <c r="G14" s="521">
        <f>Inputs!$B$33</f>
        <v>4.44</v>
      </c>
      <c r="H14" s="234">
        <f t="shared" si="1"/>
        <v>31122.2101798696</v>
      </c>
      <c r="I14" s="234">
        <f t="shared" si="2"/>
        <v>510976.8666700102</v>
      </c>
      <c r="J14" s="225">
        <f>I14/((1+Inputs!$B$6)^(B14-Inputs!$B$10))</f>
        <v>358388.8935263926</v>
      </c>
      <c r="K14" s="226">
        <f>I14/((1+Inputs!$B$5)^(B14-Inputs!$B$10))</f>
        <v>226879.8396968432</v>
      </c>
    </row>
    <row r="15" spans="1:11" ht="12">
      <c r="A15" s="169">
        <v>11</v>
      </c>
      <c r="B15" s="170">
        <v>2031</v>
      </c>
      <c r="C15" s="171">
        <f>'Avoided Truck Miles'!Y16</f>
        <v>3734396.3483552905</v>
      </c>
      <c r="D15" s="224">
        <f>Inputs!$B$32</f>
        <v>0.1451637764932563</v>
      </c>
      <c r="E15" s="225">
        <f t="shared" si="0"/>
        <v>542099.0768498798</v>
      </c>
      <c r="F15" s="225">
        <f>'Avoided Truck Miles'!AA16</f>
        <v>7009.506797267927</v>
      </c>
      <c r="G15" s="521">
        <f>Inputs!$B$33</f>
        <v>4.44</v>
      </c>
      <c r="H15" s="234">
        <f t="shared" si="1"/>
        <v>31122.2101798696</v>
      </c>
      <c r="I15" s="234">
        <f t="shared" si="2"/>
        <v>510976.8666700102</v>
      </c>
      <c r="J15" s="225">
        <f>I15/((1+Inputs!$B$6)^(B15-Inputs!$B$10))</f>
        <v>347950.38206445886</v>
      </c>
      <c r="K15" s="226">
        <f>I15/((1+Inputs!$B$5)^(B15-Inputs!$B$10))</f>
        <v>212037.23336153568</v>
      </c>
    </row>
    <row r="16" spans="1:11" ht="12">
      <c r="A16" s="169">
        <v>12</v>
      </c>
      <c r="B16" s="170">
        <v>2032</v>
      </c>
      <c r="C16" s="171">
        <f>'Avoided Truck Miles'!Y17</f>
        <v>3734396.3483552905</v>
      </c>
      <c r="D16" s="224">
        <f>Inputs!$B$32</f>
        <v>0.1451637764932563</v>
      </c>
      <c r="E16" s="225">
        <f t="shared" si="0"/>
        <v>542099.0768498798</v>
      </c>
      <c r="F16" s="225">
        <f>'Avoided Truck Miles'!AA17</f>
        <v>7009.506797267927</v>
      </c>
      <c r="G16" s="521">
        <f>Inputs!$B$33</f>
        <v>4.44</v>
      </c>
      <c r="H16" s="234">
        <f t="shared" si="1"/>
        <v>31122.2101798696</v>
      </c>
      <c r="I16" s="234">
        <f t="shared" si="2"/>
        <v>510976.8666700102</v>
      </c>
      <c r="J16" s="225">
        <f>I16/((1+Inputs!$B$6)^(B16-Inputs!$B$10))</f>
        <v>337815.9049169503</v>
      </c>
      <c r="K16" s="226">
        <f>I16/((1+Inputs!$B$5)^(B16-Inputs!$B$10))</f>
        <v>198165.63865564083</v>
      </c>
    </row>
    <row r="17" spans="1:11" ht="12">
      <c r="A17" s="169">
        <v>13</v>
      </c>
      <c r="B17" s="170">
        <v>2033</v>
      </c>
      <c r="C17" s="171">
        <f>'Avoided Truck Miles'!Y18</f>
        <v>3734396.3483552905</v>
      </c>
      <c r="D17" s="224">
        <f>Inputs!$B$32</f>
        <v>0.1451637764932563</v>
      </c>
      <c r="E17" s="225">
        <f t="shared" si="0"/>
        <v>542099.0768498798</v>
      </c>
      <c r="F17" s="225">
        <f>'Avoided Truck Miles'!AA18</f>
        <v>7009.506797267927</v>
      </c>
      <c r="G17" s="521">
        <f>Inputs!$B$33</f>
        <v>4.44</v>
      </c>
      <c r="H17" s="234">
        <f t="shared" si="1"/>
        <v>31122.2101798696</v>
      </c>
      <c r="I17" s="234">
        <f t="shared" si="2"/>
        <v>510976.8666700102</v>
      </c>
      <c r="J17" s="225">
        <f>I17/((1+Inputs!$B$6)^(B17-Inputs!$B$10))</f>
        <v>327976.6067154857</v>
      </c>
      <c r="K17" s="226">
        <f>I17/((1+Inputs!$B$5)^(B17-Inputs!$B$10))</f>
        <v>185201.53145386992</v>
      </c>
    </row>
    <row r="18" spans="1:11" ht="12">
      <c r="A18" s="169">
        <v>14</v>
      </c>
      <c r="B18" s="170">
        <v>2034</v>
      </c>
      <c r="C18" s="171">
        <f>'Avoided Truck Miles'!Y19</f>
        <v>3734396.3483552905</v>
      </c>
      <c r="D18" s="224">
        <f>Inputs!$B$32</f>
        <v>0.1451637764932563</v>
      </c>
      <c r="E18" s="225">
        <f t="shared" si="0"/>
        <v>542099.0768498798</v>
      </c>
      <c r="F18" s="225">
        <f>'Avoided Truck Miles'!AA19</f>
        <v>7009.506797267927</v>
      </c>
      <c r="G18" s="521">
        <f>Inputs!$B$33</f>
        <v>4.44</v>
      </c>
      <c r="H18" s="234">
        <f t="shared" si="1"/>
        <v>31122.2101798696</v>
      </c>
      <c r="I18" s="234">
        <f t="shared" si="2"/>
        <v>510976.8666700102</v>
      </c>
      <c r="J18" s="225">
        <f>I18/((1+Inputs!$B$6)^(B18-Inputs!$B$10))</f>
        <v>318423.8900150347</v>
      </c>
      <c r="K18" s="226">
        <f>I18/((1+Inputs!$B$5)^(B18-Inputs!$B$10))</f>
        <v>173085.5434148317</v>
      </c>
    </row>
    <row r="19" spans="1:11" ht="12">
      <c r="A19" s="169">
        <v>15</v>
      </c>
      <c r="B19" s="170">
        <v>2035</v>
      </c>
      <c r="C19" s="171">
        <f>'Avoided Truck Miles'!Y20</f>
        <v>3734396.3483552905</v>
      </c>
      <c r="D19" s="224">
        <f>Inputs!$B$32</f>
        <v>0.1451637764932563</v>
      </c>
      <c r="E19" s="225">
        <f t="shared" si="0"/>
        <v>542099.0768498798</v>
      </c>
      <c r="F19" s="225">
        <f>'Avoided Truck Miles'!AA20</f>
        <v>7009.506797267927</v>
      </c>
      <c r="G19" s="521">
        <f>Inputs!$B$33</f>
        <v>4.44</v>
      </c>
      <c r="H19" s="234">
        <f t="shared" si="1"/>
        <v>31122.2101798696</v>
      </c>
      <c r="I19" s="234">
        <f t="shared" si="2"/>
        <v>510976.8666700102</v>
      </c>
      <c r="J19" s="225">
        <f>I19/((1+Inputs!$B$6)^(B19-Inputs!$B$10))</f>
        <v>309149.4077815871</v>
      </c>
      <c r="K19" s="226">
        <f>I19/((1+Inputs!$B$5)^(B19-Inputs!$B$10))</f>
        <v>161762.19010731936</v>
      </c>
    </row>
    <row r="20" spans="1:11" ht="12">
      <c r="A20" s="169">
        <v>16</v>
      </c>
      <c r="B20" s="170">
        <v>2036</v>
      </c>
      <c r="C20" s="171">
        <f>'Avoided Truck Miles'!Y21</f>
        <v>3734396.3483552905</v>
      </c>
      <c r="D20" s="224">
        <f>Inputs!$B$32</f>
        <v>0.1451637764932563</v>
      </c>
      <c r="E20" s="225">
        <f t="shared" si="0"/>
        <v>542099.0768498798</v>
      </c>
      <c r="F20" s="225">
        <f>'Avoided Truck Miles'!AA21</f>
        <v>7009.506797267927</v>
      </c>
      <c r="G20" s="521">
        <f>Inputs!$B$33</f>
        <v>4.44</v>
      </c>
      <c r="H20" s="234">
        <f t="shared" si="1"/>
        <v>31122.2101798696</v>
      </c>
      <c r="I20" s="234">
        <f t="shared" si="2"/>
        <v>510976.8666700102</v>
      </c>
      <c r="J20" s="225">
        <f>I20/((1+Inputs!$B$6)^(B20-Inputs!$B$10))</f>
        <v>300145.05609862827</v>
      </c>
      <c r="K20" s="226">
        <f>I20/((1+Inputs!$B$5)^(B20-Inputs!$B$10))</f>
        <v>151179.61692272837</v>
      </c>
    </row>
    <row r="21" spans="1:11" ht="12">
      <c r="A21" s="169">
        <v>17</v>
      </c>
      <c r="B21" s="170">
        <v>2037</v>
      </c>
      <c r="C21" s="171">
        <f>'Avoided Truck Miles'!Y22</f>
        <v>3734396.3483552905</v>
      </c>
      <c r="D21" s="224">
        <f>Inputs!$B$32</f>
        <v>0.1451637764932563</v>
      </c>
      <c r="E21" s="225">
        <f t="shared" si="0"/>
        <v>542099.0768498798</v>
      </c>
      <c r="F21" s="225">
        <f>'Avoided Truck Miles'!AA22</f>
        <v>7009.506797267927</v>
      </c>
      <c r="G21" s="521">
        <f>Inputs!$B$33</f>
        <v>4.44</v>
      </c>
      <c r="H21" s="234">
        <f t="shared" si="1"/>
        <v>31122.2101798696</v>
      </c>
      <c r="I21" s="234">
        <f t="shared" si="2"/>
        <v>510976.8666700102</v>
      </c>
      <c r="J21" s="225">
        <f>I21/((1+Inputs!$B$6)^(B21-Inputs!$B$10))</f>
        <v>291402.9670860469</v>
      </c>
      <c r="K21" s="226">
        <f>I21/((1+Inputs!$B$5)^(B21-Inputs!$B$10))</f>
        <v>141289.3616100265</v>
      </c>
    </row>
    <row r="22" spans="1:11" ht="12">
      <c r="A22" s="169">
        <v>18</v>
      </c>
      <c r="B22" s="170">
        <v>2038</v>
      </c>
      <c r="C22" s="171">
        <f>'Avoided Truck Miles'!Y23</f>
        <v>3734396.3483552905</v>
      </c>
      <c r="D22" s="224">
        <f>Inputs!$B$32</f>
        <v>0.1451637764932563</v>
      </c>
      <c r="E22" s="225">
        <f t="shared" si="0"/>
        <v>542099.0768498798</v>
      </c>
      <c r="F22" s="225">
        <f>'Avoided Truck Miles'!AA23</f>
        <v>7009.506797267927</v>
      </c>
      <c r="G22" s="521">
        <f>Inputs!$B$33</f>
        <v>4.44</v>
      </c>
      <c r="H22" s="234">
        <f t="shared" si="1"/>
        <v>31122.2101798696</v>
      </c>
      <c r="I22" s="234">
        <f t="shared" si="2"/>
        <v>510976.8666700102</v>
      </c>
      <c r="J22" s="225">
        <f>I22/((1+Inputs!$B$6)^(B22-Inputs!$B$10))</f>
        <v>282915.50202528824</v>
      </c>
      <c r="K22" s="226">
        <f>I22/((1+Inputs!$B$5)^(B22-Inputs!$B$10))</f>
        <v>132046.13234581918</v>
      </c>
    </row>
    <row r="23" spans="1:11" ht="12">
      <c r="A23" s="169">
        <v>19</v>
      </c>
      <c r="B23" s="170">
        <v>2039</v>
      </c>
      <c r="C23" s="171">
        <f>'Avoided Truck Miles'!Y24</f>
        <v>3734396.3483552905</v>
      </c>
      <c r="D23" s="224">
        <f>Inputs!$B$32</f>
        <v>0.1451637764932563</v>
      </c>
      <c r="E23" s="225">
        <f t="shared" si="0"/>
        <v>542099.0768498798</v>
      </c>
      <c r="F23" s="225">
        <f>'Avoided Truck Miles'!AA24</f>
        <v>7009.506797267927</v>
      </c>
      <c r="G23" s="521">
        <f>Inputs!$B$33</f>
        <v>4.44</v>
      </c>
      <c r="H23" s="234">
        <f t="shared" si="1"/>
        <v>31122.2101798696</v>
      </c>
      <c r="I23" s="234">
        <f t="shared" si="2"/>
        <v>510976.8666700102</v>
      </c>
      <c r="J23" s="225">
        <f>I23/((1+Inputs!$B$6)^(B23-Inputs!$B$10))</f>
        <v>274675.2446847459</v>
      </c>
      <c r="K23" s="226">
        <f>I23/((1+Inputs!$B$5)^(B23-Inputs!$B$10))</f>
        <v>123407.60032319548</v>
      </c>
    </row>
    <row r="24" spans="1:11" ht="12">
      <c r="A24" s="169">
        <v>20</v>
      </c>
      <c r="B24" s="170">
        <v>2040</v>
      </c>
      <c r="C24" s="171">
        <f>'Avoided Truck Miles'!Y25</f>
        <v>3734396.3483552905</v>
      </c>
      <c r="D24" s="224">
        <f>Inputs!$B$32</f>
        <v>0.1451637764932563</v>
      </c>
      <c r="E24" s="225">
        <f t="shared" si="0"/>
        <v>542099.0768498798</v>
      </c>
      <c r="F24" s="225">
        <f>'Avoided Truck Miles'!AA25</f>
        <v>7009.506797267927</v>
      </c>
      <c r="G24" s="521">
        <f>Inputs!$B$33</f>
        <v>4.44</v>
      </c>
      <c r="H24" s="234">
        <f t="shared" si="1"/>
        <v>31122.2101798696</v>
      </c>
      <c r="I24" s="234">
        <f t="shared" si="2"/>
        <v>510976.8666700102</v>
      </c>
      <c r="J24" s="225">
        <f>I24/((1+Inputs!$B$6)^(B24-Inputs!$B$10))</f>
        <v>266674.9948395591</v>
      </c>
      <c r="K24" s="226">
        <f>I24/((1+Inputs!$B$5)^(B24-Inputs!$B$10))</f>
        <v>115334.2059095285</v>
      </c>
    </row>
    <row r="25" spans="1:11" ht="12">
      <c r="A25" s="169">
        <v>21</v>
      </c>
      <c r="B25" s="170">
        <v>2041</v>
      </c>
      <c r="C25" s="171">
        <f>'Avoided Truck Miles'!Y26</f>
        <v>3734396.3483552905</v>
      </c>
      <c r="D25" s="224">
        <f>Inputs!$B$32</f>
        <v>0.1451637764932563</v>
      </c>
      <c r="E25" s="225">
        <f t="shared" si="0"/>
        <v>542099.0768498798</v>
      </c>
      <c r="F25" s="225">
        <f>'Avoided Truck Miles'!AA26</f>
        <v>7009.506797267927</v>
      </c>
      <c r="G25" s="521">
        <f>Inputs!$B$33</f>
        <v>4.44</v>
      </c>
      <c r="H25" s="234">
        <f t="shared" si="1"/>
        <v>31122.2101798696</v>
      </c>
      <c r="I25" s="234">
        <f t="shared" si="2"/>
        <v>510976.8666700102</v>
      </c>
      <c r="J25" s="225">
        <f>I25/((1+Inputs!$B$6)^(B25-Inputs!$B$10))</f>
        <v>258907.76198015444</v>
      </c>
      <c r="K25" s="226">
        <f>I25/((1+Inputs!$B$5)^(B25-Inputs!$B$10))</f>
        <v>107788.97748554064</v>
      </c>
    </row>
    <row r="26" spans="1:11" ht="12">
      <c r="A26" s="169">
        <v>22</v>
      </c>
      <c r="B26" s="170">
        <v>2042</v>
      </c>
      <c r="C26" s="171">
        <f>'Avoided Truck Miles'!Y27</f>
        <v>3734396.3483552905</v>
      </c>
      <c r="D26" s="224">
        <f>Inputs!$B$32</f>
        <v>0.1451637764932563</v>
      </c>
      <c r="E26" s="225">
        <f t="shared" si="0"/>
        <v>542099.0768498798</v>
      </c>
      <c r="F26" s="225">
        <f>'Avoided Truck Miles'!AA27</f>
        <v>7009.506797267927</v>
      </c>
      <c r="G26" s="521">
        <f>Inputs!$B$33</f>
        <v>4.44</v>
      </c>
      <c r="H26" s="234">
        <f t="shared" si="1"/>
        <v>31122.2101798696</v>
      </c>
      <c r="I26" s="234">
        <f t="shared" si="2"/>
        <v>510976.8666700102</v>
      </c>
      <c r="J26" s="225">
        <f>I26/((1+Inputs!$B$6)^(B26-Inputs!$B$10))</f>
        <v>251366.75920403347</v>
      </c>
      <c r="K26" s="226">
        <f>I26/((1+Inputs!$B$5)^(B26-Inputs!$B$10))</f>
        <v>100737.36213601929</v>
      </c>
    </row>
    <row r="27" spans="1:11" ht="12">
      <c r="A27" s="169">
        <v>23</v>
      </c>
      <c r="B27" s="170">
        <v>2043</v>
      </c>
      <c r="C27" s="171">
        <f>'Avoided Truck Miles'!Y28</f>
        <v>3734396.3483552905</v>
      </c>
      <c r="D27" s="224">
        <f>Inputs!$B$32</f>
        <v>0.1451637764932563</v>
      </c>
      <c r="E27" s="225">
        <f t="shared" si="0"/>
        <v>542099.0768498798</v>
      </c>
      <c r="F27" s="225">
        <f>'Avoided Truck Miles'!AA28</f>
        <v>7009.506797267927</v>
      </c>
      <c r="G27" s="521">
        <f>Inputs!$B$33</f>
        <v>4.44</v>
      </c>
      <c r="H27" s="234">
        <f t="shared" si="1"/>
        <v>31122.2101798696</v>
      </c>
      <c r="I27" s="234">
        <f t="shared" si="2"/>
        <v>510976.8666700102</v>
      </c>
      <c r="J27" s="225">
        <f>I27/((1+Inputs!$B$6)^(B27-Inputs!$B$10))</f>
        <v>244045.3972854694</v>
      </c>
      <c r="K27" s="226">
        <f>I27/((1+Inputs!$B$5)^(B27-Inputs!$B$10))</f>
        <v>94147.06741684045</v>
      </c>
    </row>
    <row r="28" spans="1:11" ht="12">
      <c r="A28" s="169">
        <v>24</v>
      </c>
      <c r="B28" s="170">
        <v>2044</v>
      </c>
      <c r="C28" s="171">
        <f>'Avoided Truck Miles'!Y29</f>
        <v>3734396.3483552905</v>
      </c>
      <c r="D28" s="224">
        <f>Inputs!$B$32</f>
        <v>0.1451637764932563</v>
      </c>
      <c r="E28" s="225">
        <f t="shared" si="0"/>
        <v>542099.0768498798</v>
      </c>
      <c r="F28" s="225">
        <f>'Avoided Truck Miles'!AA29</f>
        <v>7009.506797267927</v>
      </c>
      <c r="G28" s="521">
        <f>Inputs!$B$33</f>
        <v>4.44</v>
      </c>
      <c r="H28" s="234">
        <f t="shared" si="1"/>
        <v>31122.2101798696</v>
      </c>
      <c r="I28" s="234">
        <f t="shared" si="2"/>
        <v>510976.8666700102</v>
      </c>
      <c r="J28" s="225">
        <f>I28/((1+Inputs!$B$6)^(B28-Inputs!$B$10))</f>
        <v>236937.27891793143</v>
      </c>
      <c r="K28" s="226">
        <f>I28/((1+Inputs!$B$5)^(B28-Inputs!$B$10))</f>
        <v>87987.91347368267</v>
      </c>
    </row>
    <row r="29" spans="1:11" ht="12">
      <c r="A29" s="169">
        <v>25</v>
      </c>
      <c r="B29" s="170">
        <v>2045</v>
      </c>
      <c r="C29" s="171">
        <f>'Avoided Truck Miles'!Y30</f>
        <v>3734396.3483552905</v>
      </c>
      <c r="D29" s="224">
        <f>Inputs!$B$32</f>
        <v>0.1451637764932563</v>
      </c>
      <c r="E29" s="225">
        <f t="shared" si="0"/>
        <v>542099.0768498798</v>
      </c>
      <c r="F29" s="225">
        <f>'Avoided Truck Miles'!AA30</f>
        <v>7009.506797267927</v>
      </c>
      <c r="G29" s="521">
        <f>Inputs!$B$33</f>
        <v>4.44</v>
      </c>
      <c r="H29" s="234">
        <f t="shared" si="1"/>
        <v>31122.2101798696</v>
      </c>
      <c r="I29" s="234">
        <f t="shared" si="2"/>
        <v>510976.8666700102</v>
      </c>
      <c r="J29" s="225">
        <f>I29/((1+Inputs!$B$6)^(B29-Inputs!$B$10))</f>
        <v>230036.19312420528</v>
      </c>
      <c r="K29" s="226">
        <f>I29/((1+Inputs!$B$5)^(B29-Inputs!$B$10))</f>
        <v>82231.69483521744</v>
      </c>
    </row>
    <row r="30" spans="1:11" ht="12">
      <c r="A30" s="169">
        <v>26</v>
      </c>
      <c r="B30" s="170">
        <v>2046</v>
      </c>
      <c r="C30" s="171">
        <f>'Avoided Truck Miles'!Y31</f>
        <v>3734396.3483552905</v>
      </c>
      <c r="D30" s="224">
        <f>Inputs!$B$32</f>
        <v>0.1451637764932563</v>
      </c>
      <c r="E30" s="225">
        <f t="shared" si="0"/>
        <v>542099.0768498798</v>
      </c>
      <c r="F30" s="225">
        <f>'Avoided Truck Miles'!AA31</f>
        <v>7009.506797267927</v>
      </c>
      <c r="G30" s="521">
        <f>Inputs!$B$33</f>
        <v>4.44</v>
      </c>
      <c r="H30" s="234">
        <f t="shared" si="1"/>
        <v>31122.2101798696</v>
      </c>
      <c r="I30" s="234">
        <f t="shared" si="2"/>
        <v>510976.8666700102</v>
      </c>
      <c r="J30" s="225">
        <f>I30/((1+Inputs!$B$6)^(B30-Inputs!$B$10))</f>
        <v>223336.10982932552</v>
      </c>
      <c r="K30" s="226">
        <f>I30/((1+Inputs!$B$5)^(B30-Inputs!$B$10))</f>
        <v>76852.05124786678</v>
      </c>
    </row>
    <row r="31" spans="1:11" ht="12">
      <c r="A31" s="169">
        <v>27</v>
      </c>
      <c r="B31" s="170">
        <v>2047</v>
      </c>
      <c r="C31" s="171">
        <f>'Avoided Truck Miles'!Y32</f>
        <v>3734396.3483552905</v>
      </c>
      <c r="D31" s="224">
        <f>Inputs!$B$32</f>
        <v>0.1451637764932563</v>
      </c>
      <c r="E31" s="225">
        <f t="shared" si="0"/>
        <v>542099.0768498798</v>
      </c>
      <c r="F31" s="225">
        <f>'Avoided Truck Miles'!AA32</f>
        <v>7009.506797267927</v>
      </c>
      <c r="G31" s="521">
        <f>Inputs!$B$33</f>
        <v>4.44</v>
      </c>
      <c r="H31" s="234">
        <f t="shared" si="1"/>
        <v>31122.2101798696</v>
      </c>
      <c r="I31" s="234">
        <f t="shared" si="2"/>
        <v>510976.8666700102</v>
      </c>
      <c r="J31" s="225">
        <f>I31/((1+Inputs!$B$6)^(B31-Inputs!$B$10))</f>
        <v>216831.1745915782</v>
      </c>
      <c r="K31" s="226">
        <f>I31/((1+Inputs!$B$5)^(B31-Inputs!$B$10))</f>
        <v>71824.34696062315</v>
      </c>
    </row>
    <row r="32" spans="1:11" ht="12">
      <c r="A32" s="169">
        <v>28</v>
      </c>
      <c r="B32" s="170">
        <v>2048</v>
      </c>
      <c r="C32" s="171">
        <f>'Avoided Truck Miles'!Y33</f>
        <v>3734396.3483552905</v>
      </c>
      <c r="D32" s="224">
        <f>Inputs!$B$32</f>
        <v>0.1451637764932563</v>
      </c>
      <c r="E32" s="225">
        <f t="shared" si="0"/>
        <v>542099.0768498798</v>
      </c>
      <c r="F32" s="225">
        <f>'Avoided Truck Miles'!AA33</f>
        <v>7009.506797267927</v>
      </c>
      <c r="G32" s="521">
        <f>Inputs!$B$33</f>
        <v>4.44</v>
      </c>
      <c r="H32" s="234">
        <f t="shared" si="1"/>
        <v>31122.2101798696</v>
      </c>
      <c r="I32" s="234">
        <f t="shared" si="2"/>
        <v>510976.8666700102</v>
      </c>
      <c r="J32" s="225">
        <f>I32/((1+Inputs!$B$6)^(B32-Inputs!$B$10))</f>
        <v>210515.7034869691</v>
      </c>
      <c r="K32" s="226">
        <f>I32/((1+Inputs!$B$5)^(B32-Inputs!$B$10))</f>
        <v>67125.55790712444</v>
      </c>
    </row>
    <row r="33" spans="1:11" ht="12">
      <c r="A33" s="169">
        <v>29</v>
      </c>
      <c r="B33" s="170">
        <v>2049</v>
      </c>
      <c r="C33" s="171">
        <f>'Avoided Truck Miles'!Y34</f>
        <v>3734396.3483552905</v>
      </c>
      <c r="D33" s="224">
        <f>Inputs!$B$32</f>
        <v>0.1451637764932563</v>
      </c>
      <c r="E33" s="225">
        <f>C33*D33</f>
        <v>542099.0768498798</v>
      </c>
      <c r="F33" s="225">
        <f>'Avoided Truck Miles'!AA34</f>
        <v>7009.506797267927</v>
      </c>
      <c r="G33" s="521">
        <f>Inputs!$B$33</f>
        <v>4.44</v>
      </c>
      <c r="H33" s="234">
        <f t="shared" si="1"/>
        <v>31122.2101798696</v>
      </c>
      <c r="I33" s="234">
        <f t="shared" si="2"/>
        <v>510976.8666700102</v>
      </c>
      <c r="J33" s="225">
        <f>I33/((1+Inputs!$B$6)^(B33-Inputs!$B$10))</f>
        <v>204384.17814268844</v>
      </c>
      <c r="K33" s="226">
        <f>I33/((1+Inputs!$B$5)^(B33-Inputs!$B$10))</f>
        <v>62734.16626834059</v>
      </c>
    </row>
    <row r="34" spans="1:11" ht="12">
      <c r="A34" s="169">
        <v>30</v>
      </c>
      <c r="B34" s="170">
        <v>2050</v>
      </c>
      <c r="C34" s="171">
        <f>'Avoided Truck Miles'!Y35</f>
        <v>3734358.8189435257</v>
      </c>
      <c r="D34" s="224">
        <f>Inputs!$B$32</f>
        <v>0.1451637764932563</v>
      </c>
      <c r="E34" s="225">
        <f>C34*D34</f>
        <v>542093.6289387385</v>
      </c>
      <c r="F34" s="225">
        <f>'Avoided Truck Miles'!AA35</f>
        <v>7009.506797267927</v>
      </c>
      <c r="G34" s="521">
        <f>Inputs!$B$33</f>
        <v>4.44</v>
      </c>
      <c r="H34" s="234">
        <f t="shared" si="1"/>
        <v>31122.2101798696</v>
      </c>
      <c r="I34" s="234">
        <f t="shared" si="2"/>
        <v>510971.4187588689</v>
      </c>
      <c r="J34" s="225">
        <f>I34/((1+Inputs!$B$6)^(B34-Inputs!$B$10))</f>
        <v>198429.12528957665</v>
      </c>
      <c r="K34" s="226">
        <f>I34/((1+Inputs!$B$5)^(B34-Inputs!$B$10))</f>
        <v>58629.436833560394</v>
      </c>
    </row>
    <row r="35" spans="1:11" s="198" customFormat="1" ht="12.75" thickBot="1">
      <c r="A35" s="643" t="s">
        <v>0</v>
      </c>
      <c r="B35" s="644"/>
      <c r="C35" s="194">
        <f aca="true" t="shared" si="3" ref="C35:K35">SUM(C2:C34)</f>
        <v>112671227.921247</v>
      </c>
      <c r="D35" s="227"/>
      <c r="E35" s="228">
        <f t="shared" si="3"/>
        <v>16355780.947180627</v>
      </c>
      <c r="F35" s="228">
        <f t="shared" si="3"/>
        <v>210285.2039180379</v>
      </c>
      <c r="G35" s="523"/>
      <c r="H35" s="228">
        <f t="shared" si="3"/>
        <v>933666.3053960875</v>
      </c>
      <c r="I35" s="228">
        <f t="shared" si="3"/>
        <v>15422114.641784549</v>
      </c>
      <c r="J35" s="228">
        <f t="shared" si="3"/>
        <v>9517838.663591335</v>
      </c>
      <c r="K35" s="229">
        <f t="shared" si="3"/>
        <v>5599658.615454986</v>
      </c>
    </row>
    <row r="36" ht="12.75" thickBot="1">
      <c r="C36" s="173"/>
    </row>
    <row r="37" spans="1:11" ht="60">
      <c r="A37" s="156" t="s">
        <v>64</v>
      </c>
      <c r="B37" s="157" t="s">
        <v>1</v>
      </c>
      <c r="C37" s="157" t="s">
        <v>85</v>
      </c>
      <c r="D37" s="221" t="s">
        <v>398</v>
      </c>
      <c r="E37" s="222" t="s">
        <v>488</v>
      </c>
      <c r="F37" s="509" t="s">
        <v>489</v>
      </c>
      <c r="G37" s="522" t="s">
        <v>490</v>
      </c>
      <c r="H37" s="509" t="s">
        <v>491</v>
      </c>
      <c r="I37" s="509" t="s">
        <v>492</v>
      </c>
      <c r="J37" s="222" t="s">
        <v>294</v>
      </c>
      <c r="K37" s="223" t="s">
        <v>295</v>
      </c>
    </row>
    <row r="38" spans="1:11" ht="12">
      <c r="A38" s="169">
        <v>-2</v>
      </c>
      <c r="B38" s="170">
        <v>2018</v>
      </c>
      <c r="C38" s="171">
        <f>ROUND(C2,-3)</f>
        <v>0</v>
      </c>
      <c r="D38" s="224">
        <f>D2</f>
        <v>0.1451637764932563</v>
      </c>
      <c r="E38" s="225">
        <f aca="true" t="shared" si="4" ref="E38:K38">ROUND(E2,-3)</f>
        <v>0</v>
      </c>
      <c r="F38" s="225">
        <f t="shared" si="4"/>
        <v>0</v>
      </c>
      <c r="G38" s="521">
        <f>G2</f>
        <v>4.44</v>
      </c>
      <c r="H38" s="234">
        <f t="shared" si="4"/>
        <v>0</v>
      </c>
      <c r="I38" s="234">
        <f t="shared" si="4"/>
        <v>0</v>
      </c>
      <c r="J38" s="225">
        <f t="shared" si="4"/>
        <v>0</v>
      </c>
      <c r="K38" s="226">
        <f t="shared" si="4"/>
        <v>0</v>
      </c>
    </row>
    <row r="39" spans="1:11" ht="12">
      <c r="A39" s="169">
        <v>-1</v>
      </c>
      <c r="B39" s="170">
        <v>2019</v>
      </c>
      <c r="C39" s="171">
        <f aca="true" t="shared" si="5" ref="C39:K39">ROUND(C3,-3)</f>
        <v>0</v>
      </c>
      <c r="D39" s="224">
        <f aca="true" t="shared" si="6" ref="D39:D70">D3</f>
        <v>0.1451637764932563</v>
      </c>
      <c r="E39" s="225">
        <f t="shared" si="5"/>
        <v>0</v>
      </c>
      <c r="F39" s="225">
        <f t="shared" si="5"/>
        <v>0</v>
      </c>
      <c r="G39" s="521">
        <f aca="true" t="shared" si="7" ref="G39:G70">G3</f>
        <v>4.44</v>
      </c>
      <c r="H39" s="234">
        <f t="shared" si="5"/>
        <v>0</v>
      </c>
      <c r="I39" s="234">
        <f t="shared" si="5"/>
        <v>0</v>
      </c>
      <c r="J39" s="225">
        <f t="shared" si="5"/>
        <v>0</v>
      </c>
      <c r="K39" s="226">
        <f t="shared" si="5"/>
        <v>0</v>
      </c>
    </row>
    <row r="40" spans="1:11" ht="12">
      <c r="A40" s="169">
        <v>0</v>
      </c>
      <c r="B40" s="170">
        <v>2020</v>
      </c>
      <c r="C40" s="171">
        <f aca="true" t="shared" si="8" ref="C40:K40">ROUND(C4,-3)</f>
        <v>0</v>
      </c>
      <c r="D40" s="224">
        <f t="shared" si="6"/>
        <v>0.1451637764932563</v>
      </c>
      <c r="E40" s="225">
        <f t="shared" si="8"/>
        <v>0</v>
      </c>
      <c r="F40" s="225">
        <f t="shared" si="8"/>
        <v>0</v>
      </c>
      <c r="G40" s="521">
        <f t="shared" si="7"/>
        <v>4.44</v>
      </c>
      <c r="H40" s="234">
        <f t="shared" si="8"/>
        <v>0</v>
      </c>
      <c r="I40" s="234">
        <f t="shared" si="8"/>
        <v>0</v>
      </c>
      <c r="J40" s="225">
        <f t="shared" si="8"/>
        <v>0</v>
      </c>
      <c r="K40" s="226">
        <f t="shared" si="8"/>
        <v>0</v>
      </c>
    </row>
    <row r="41" spans="1:11" ht="12">
      <c r="A41" s="169">
        <v>1</v>
      </c>
      <c r="B41" s="170">
        <v>2021</v>
      </c>
      <c r="C41" s="171">
        <f aca="true" t="shared" si="9" ref="C41:K41">ROUND(C5,-3)</f>
        <v>3773000</v>
      </c>
      <c r="D41" s="224">
        <f t="shared" si="6"/>
        <v>0.1451637764932563</v>
      </c>
      <c r="E41" s="225">
        <f t="shared" si="9"/>
        <v>548000</v>
      </c>
      <c r="F41" s="225">
        <f t="shared" si="9"/>
        <v>7000</v>
      </c>
      <c r="G41" s="521">
        <f t="shared" si="7"/>
        <v>4.44</v>
      </c>
      <c r="H41" s="234">
        <f t="shared" si="9"/>
        <v>31000</v>
      </c>
      <c r="I41" s="234">
        <f t="shared" si="9"/>
        <v>517000</v>
      </c>
      <c r="J41" s="225">
        <f t="shared" si="9"/>
        <v>473000</v>
      </c>
      <c r="K41" s="226">
        <f t="shared" si="9"/>
        <v>422000</v>
      </c>
    </row>
    <row r="42" spans="1:11" ht="12">
      <c r="A42" s="169">
        <v>2</v>
      </c>
      <c r="B42" s="170">
        <v>2022</v>
      </c>
      <c r="C42" s="171">
        <f aca="true" t="shared" si="10" ref="C42:K42">ROUND(C6,-3)</f>
        <v>3802000</v>
      </c>
      <c r="D42" s="224">
        <f t="shared" si="6"/>
        <v>0.1451637764932563</v>
      </c>
      <c r="E42" s="225">
        <f t="shared" si="10"/>
        <v>552000</v>
      </c>
      <c r="F42" s="225">
        <f t="shared" si="10"/>
        <v>7000</v>
      </c>
      <c r="G42" s="521">
        <f t="shared" si="7"/>
        <v>4.44</v>
      </c>
      <c r="H42" s="234">
        <f t="shared" si="10"/>
        <v>31000</v>
      </c>
      <c r="I42" s="234">
        <f t="shared" si="10"/>
        <v>521000</v>
      </c>
      <c r="J42" s="225">
        <f t="shared" si="10"/>
        <v>463000</v>
      </c>
      <c r="K42" s="226">
        <f t="shared" si="10"/>
        <v>397000</v>
      </c>
    </row>
    <row r="43" spans="1:11" ht="12">
      <c r="A43" s="169">
        <v>3</v>
      </c>
      <c r="B43" s="170">
        <v>2023</v>
      </c>
      <c r="C43" s="171">
        <f aca="true" t="shared" si="11" ref="C43:K43">ROUND(C7,-3)</f>
        <v>3831000</v>
      </c>
      <c r="D43" s="224">
        <f t="shared" si="6"/>
        <v>0.1451637764932563</v>
      </c>
      <c r="E43" s="225">
        <f t="shared" si="11"/>
        <v>556000</v>
      </c>
      <c r="F43" s="225">
        <f t="shared" si="11"/>
        <v>7000</v>
      </c>
      <c r="G43" s="521">
        <f t="shared" si="7"/>
        <v>4.44</v>
      </c>
      <c r="H43" s="234">
        <f t="shared" si="11"/>
        <v>31000</v>
      </c>
      <c r="I43" s="234">
        <f t="shared" si="11"/>
        <v>525000</v>
      </c>
      <c r="J43" s="225">
        <f t="shared" si="11"/>
        <v>453000</v>
      </c>
      <c r="K43" s="226">
        <f t="shared" si="11"/>
        <v>374000</v>
      </c>
    </row>
    <row r="44" spans="1:11" ht="12">
      <c r="A44" s="169">
        <v>4</v>
      </c>
      <c r="B44" s="170">
        <v>2024</v>
      </c>
      <c r="C44" s="171">
        <f aca="true" t="shared" si="12" ref="C44:K44">ROUND(C8,-3)</f>
        <v>3860000</v>
      </c>
      <c r="D44" s="224">
        <f t="shared" si="6"/>
        <v>0.1451637764932563</v>
      </c>
      <c r="E44" s="225">
        <f t="shared" si="12"/>
        <v>560000</v>
      </c>
      <c r="F44" s="225">
        <f t="shared" si="12"/>
        <v>7000</v>
      </c>
      <c r="G44" s="521">
        <f t="shared" si="7"/>
        <v>4.44</v>
      </c>
      <c r="H44" s="234">
        <f t="shared" si="12"/>
        <v>31000</v>
      </c>
      <c r="I44" s="234">
        <f t="shared" si="12"/>
        <v>529000</v>
      </c>
      <c r="J44" s="225">
        <f t="shared" si="12"/>
        <v>443000</v>
      </c>
      <c r="K44" s="226">
        <f t="shared" si="12"/>
        <v>353000</v>
      </c>
    </row>
    <row r="45" spans="1:11" ht="12">
      <c r="A45" s="169">
        <v>5</v>
      </c>
      <c r="B45" s="170">
        <v>2025</v>
      </c>
      <c r="C45" s="171">
        <f aca="true" t="shared" si="13" ref="C45:K45">ROUND(C9,-3)</f>
        <v>3889000</v>
      </c>
      <c r="D45" s="224">
        <f t="shared" si="6"/>
        <v>0.1451637764932563</v>
      </c>
      <c r="E45" s="225">
        <f t="shared" si="13"/>
        <v>565000</v>
      </c>
      <c r="F45" s="225">
        <f t="shared" si="13"/>
        <v>7000</v>
      </c>
      <c r="G45" s="521">
        <f t="shared" si="7"/>
        <v>4.44</v>
      </c>
      <c r="H45" s="234">
        <f t="shared" si="13"/>
        <v>31000</v>
      </c>
      <c r="I45" s="234">
        <f t="shared" si="13"/>
        <v>533000</v>
      </c>
      <c r="J45" s="225">
        <f t="shared" si="13"/>
        <v>434000</v>
      </c>
      <c r="K45" s="226">
        <f t="shared" si="13"/>
        <v>332000</v>
      </c>
    </row>
    <row r="46" spans="1:11" ht="12">
      <c r="A46" s="169">
        <v>6</v>
      </c>
      <c r="B46" s="170">
        <v>2026</v>
      </c>
      <c r="C46" s="171">
        <f aca="true" t="shared" si="14" ref="C46:K46">ROUND(C10,-3)</f>
        <v>3889000</v>
      </c>
      <c r="D46" s="224">
        <f t="shared" si="6"/>
        <v>0.1451637764932563</v>
      </c>
      <c r="E46" s="225">
        <f t="shared" si="14"/>
        <v>565000</v>
      </c>
      <c r="F46" s="225">
        <f t="shared" si="14"/>
        <v>7000</v>
      </c>
      <c r="G46" s="521">
        <f t="shared" si="7"/>
        <v>4.44</v>
      </c>
      <c r="H46" s="234">
        <f t="shared" si="14"/>
        <v>31000</v>
      </c>
      <c r="I46" s="234">
        <f t="shared" si="14"/>
        <v>533000</v>
      </c>
      <c r="J46" s="225">
        <f t="shared" si="14"/>
        <v>421000</v>
      </c>
      <c r="K46" s="226">
        <f t="shared" si="14"/>
        <v>310000</v>
      </c>
    </row>
    <row r="47" spans="1:11" ht="12">
      <c r="A47" s="169">
        <v>7</v>
      </c>
      <c r="B47" s="170">
        <v>2027</v>
      </c>
      <c r="C47" s="171">
        <f aca="true" t="shared" si="15" ref="C47:K47">ROUND(C11,-3)</f>
        <v>3734000</v>
      </c>
      <c r="D47" s="224">
        <f t="shared" si="6"/>
        <v>0.1451637764932563</v>
      </c>
      <c r="E47" s="225">
        <f t="shared" si="15"/>
        <v>542000</v>
      </c>
      <c r="F47" s="225">
        <f t="shared" si="15"/>
        <v>7000</v>
      </c>
      <c r="G47" s="521">
        <f t="shared" si="7"/>
        <v>4.44</v>
      </c>
      <c r="H47" s="234">
        <f t="shared" si="15"/>
        <v>31000</v>
      </c>
      <c r="I47" s="234">
        <f t="shared" si="15"/>
        <v>511000</v>
      </c>
      <c r="J47" s="225">
        <f t="shared" si="15"/>
        <v>392000</v>
      </c>
      <c r="K47" s="226">
        <f t="shared" si="15"/>
        <v>278000</v>
      </c>
    </row>
    <row r="48" spans="1:11" ht="12">
      <c r="A48" s="169">
        <v>8</v>
      </c>
      <c r="B48" s="170">
        <v>2028</v>
      </c>
      <c r="C48" s="171">
        <f aca="true" t="shared" si="16" ref="C48:K48">ROUND(C12,-3)</f>
        <v>3734000</v>
      </c>
      <c r="D48" s="224">
        <f t="shared" si="6"/>
        <v>0.1451637764932563</v>
      </c>
      <c r="E48" s="225">
        <f t="shared" si="16"/>
        <v>542000</v>
      </c>
      <c r="F48" s="225">
        <f t="shared" si="16"/>
        <v>7000</v>
      </c>
      <c r="G48" s="521">
        <f t="shared" si="7"/>
        <v>4.44</v>
      </c>
      <c r="H48" s="234">
        <f t="shared" si="16"/>
        <v>31000</v>
      </c>
      <c r="I48" s="234">
        <f t="shared" si="16"/>
        <v>511000</v>
      </c>
      <c r="J48" s="225">
        <f t="shared" si="16"/>
        <v>380000</v>
      </c>
      <c r="K48" s="226">
        <f t="shared" si="16"/>
        <v>260000</v>
      </c>
    </row>
    <row r="49" spans="1:11" ht="12">
      <c r="A49" s="169">
        <v>9</v>
      </c>
      <c r="B49" s="170">
        <v>2029</v>
      </c>
      <c r="C49" s="171">
        <f aca="true" t="shared" si="17" ref="C49:K49">ROUND(C13,-3)</f>
        <v>3734000</v>
      </c>
      <c r="D49" s="224">
        <f t="shared" si="6"/>
        <v>0.1451637764932563</v>
      </c>
      <c r="E49" s="225">
        <f t="shared" si="17"/>
        <v>542000</v>
      </c>
      <c r="F49" s="225">
        <f t="shared" si="17"/>
        <v>7000</v>
      </c>
      <c r="G49" s="521">
        <f t="shared" si="7"/>
        <v>4.44</v>
      </c>
      <c r="H49" s="234">
        <f t="shared" si="17"/>
        <v>31000</v>
      </c>
      <c r="I49" s="234">
        <f t="shared" si="17"/>
        <v>511000</v>
      </c>
      <c r="J49" s="225">
        <f t="shared" si="17"/>
        <v>369000</v>
      </c>
      <c r="K49" s="226">
        <f t="shared" si="17"/>
        <v>243000</v>
      </c>
    </row>
    <row r="50" spans="1:11" ht="12">
      <c r="A50" s="169">
        <v>10</v>
      </c>
      <c r="B50" s="170">
        <v>2030</v>
      </c>
      <c r="C50" s="171">
        <f aca="true" t="shared" si="18" ref="C50:K50">ROUND(C14,-3)</f>
        <v>3734000</v>
      </c>
      <c r="D50" s="224">
        <f t="shared" si="6"/>
        <v>0.1451637764932563</v>
      </c>
      <c r="E50" s="225">
        <f t="shared" si="18"/>
        <v>542000</v>
      </c>
      <c r="F50" s="225">
        <f t="shared" si="18"/>
        <v>7000</v>
      </c>
      <c r="G50" s="521">
        <f t="shared" si="7"/>
        <v>4.44</v>
      </c>
      <c r="H50" s="234">
        <f t="shared" si="18"/>
        <v>31000</v>
      </c>
      <c r="I50" s="234">
        <f t="shared" si="18"/>
        <v>511000</v>
      </c>
      <c r="J50" s="225">
        <f t="shared" si="18"/>
        <v>358000</v>
      </c>
      <c r="K50" s="226">
        <f t="shared" si="18"/>
        <v>227000</v>
      </c>
    </row>
    <row r="51" spans="1:11" ht="12">
      <c r="A51" s="169">
        <v>11</v>
      </c>
      <c r="B51" s="170">
        <v>2031</v>
      </c>
      <c r="C51" s="171">
        <f aca="true" t="shared" si="19" ref="C51:K51">ROUND(C15,-3)</f>
        <v>3734000</v>
      </c>
      <c r="D51" s="224">
        <f t="shared" si="6"/>
        <v>0.1451637764932563</v>
      </c>
      <c r="E51" s="225">
        <f t="shared" si="19"/>
        <v>542000</v>
      </c>
      <c r="F51" s="225">
        <f t="shared" si="19"/>
        <v>7000</v>
      </c>
      <c r="G51" s="521">
        <f t="shared" si="7"/>
        <v>4.44</v>
      </c>
      <c r="H51" s="234">
        <f t="shared" si="19"/>
        <v>31000</v>
      </c>
      <c r="I51" s="234">
        <f t="shared" si="19"/>
        <v>511000</v>
      </c>
      <c r="J51" s="225">
        <f t="shared" si="19"/>
        <v>348000</v>
      </c>
      <c r="K51" s="226">
        <f t="shared" si="19"/>
        <v>212000</v>
      </c>
    </row>
    <row r="52" spans="1:11" ht="12">
      <c r="A52" s="169">
        <v>12</v>
      </c>
      <c r="B52" s="170">
        <v>2032</v>
      </c>
      <c r="C52" s="171">
        <f aca="true" t="shared" si="20" ref="C52:K52">ROUND(C16,-3)</f>
        <v>3734000</v>
      </c>
      <c r="D52" s="224">
        <f t="shared" si="6"/>
        <v>0.1451637764932563</v>
      </c>
      <c r="E52" s="225">
        <f t="shared" si="20"/>
        <v>542000</v>
      </c>
      <c r="F52" s="225">
        <f t="shared" si="20"/>
        <v>7000</v>
      </c>
      <c r="G52" s="521">
        <f t="shared" si="7"/>
        <v>4.44</v>
      </c>
      <c r="H52" s="234">
        <f t="shared" si="20"/>
        <v>31000</v>
      </c>
      <c r="I52" s="234">
        <f t="shared" si="20"/>
        <v>511000</v>
      </c>
      <c r="J52" s="225">
        <f t="shared" si="20"/>
        <v>338000</v>
      </c>
      <c r="K52" s="226">
        <f t="shared" si="20"/>
        <v>198000</v>
      </c>
    </row>
    <row r="53" spans="1:11" ht="12">
      <c r="A53" s="169">
        <v>13</v>
      </c>
      <c r="B53" s="170">
        <v>2033</v>
      </c>
      <c r="C53" s="171">
        <f aca="true" t="shared" si="21" ref="C53:K53">ROUND(C17,-3)</f>
        <v>3734000</v>
      </c>
      <c r="D53" s="224">
        <f t="shared" si="6"/>
        <v>0.1451637764932563</v>
      </c>
      <c r="E53" s="225">
        <f t="shared" si="21"/>
        <v>542000</v>
      </c>
      <c r="F53" s="225">
        <f t="shared" si="21"/>
        <v>7000</v>
      </c>
      <c r="G53" s="521">
        <f t="shared" si="7"/>
        <v>4.44</v>
      </c>
      <c r="H53" s="234">
        <f t="shared" si="21"/>
        <v>31000</v>
      </c>
      <c r="I53" s="234">
        <f t="shared" si="21"/>
        <v>511000</v>
      </c>
      <c r="J53" s="225">
        <f t="shared" si="21"/>
        <v>328000</v>
      </c>
      <c r="K53" s="226">
        <f t="shared" si="21"/>
        <v>185000</v>
      </c>
    </row>
    <row r="54" spans="1:11" ht="12">
      <c r="A54" s="169">
        <v>14</v>
      </c>
      <c r="B54" s="170">
        <v>2034</v>
      </c>
      <c r="C54" s="171">
        <f aca="true" t="shared" si="22" ref="C54:K54">ROUND(C18,-3)</f>
        <v>3734000</v>
      </c>
      <c r="D54" s="224">
        <f t="shared" si="6"/>
        <v>0.1451637764932563</v>
      </c>
      <c r="E54" s="225">
        <f t="shared" si="22"/>
        <v>542000</v>
      </c>
      <c r="F54" s="225">
        <f t="shared" si="22"/>
        <v>7000</v>
      </c>
      <c r="G54" s="521">
        <f t="shared" si="7"/>
        <v>4.44</v>
      </c>
      <c r="H54" s="234">
        <f t="shared" si="22"/>
        <v>31000</v>
      </c>
      <c r="I54" s="234">
        <f t="shared" si="22"/>
        <v>511000</v>
      </c>
      <c r="J54" s="225">
        <f t="shared" si="22"/>
        <v>318000</v>
      </c>
      <c r="K54" s="226">
        <f t="shared" si="22"/>
        <v>173000</v>
      </c>
    </row>
    <row r="55" spans="1:11" ht="12">
      <c r="A55" s="169">
        <v>15</v>
      </c>
      <c r="B55" s="170">
        <v>2035</v>
      </c>
      <c r="C55" s="171">
        <f aca="true" t="shared" si="23" ref="C55:K55">ROUND(C19,-3)</f>
        <v>3734000</v>
      </c>
      <c r="D55" s="224">
        <f t="shared" si="6"/>
        <v>0.1451637764932563</v>
      </c>
      <c r="E55" s="225">
        <f t="shared" si="23"/>
        <v>542000</v>
      </c>
      <c r="F55" s="225">
        <f t="shared" si="23"/>
        <v>7000</v>
      </c>
      <c r="G55" s="521">
        <f t="shared" si="7"/>
        <v>4.44</v>
      </c>
      <c r="H55" s="234">
        <f t="shared" si="23"/>
        <v>31000</v>
      </c>
      <c r="I55" s="234">
        <f t="shared" si="23"/>
        <v>511000</v>
      </c>
      <c r="J55" s="225">
        <f t="shared" si="23"/>
        <v>309000</v>
      </c>
      <c r="K55" s="226">
        <f t="shared" si="23"/>
        <v>162000</v>
      </c>
    </row>
    <row r="56" spans="1:11" ht="12">
      <c r="A56" s="169">
        <v>16</v>
      </c>
      <c r="B56" s="170">
        <v>2036</v>
      </c>
      <c r="C56" s="171">
        <f aca="true" t="shared" si="24" ref="C56:K56">ROUND(C20,-3)</f>
        <v>3734000</v>
      </c>
      <c r="D56" s="224">
        <f t="shared" si="6"/>
        <v>0.1451637764932563</v>
      </c>
      <c r="E56" s="225">
        <f t="shared" si="24"/>
        <v>542000</v>
      </c>
      <c r="F56" s="225">
        <f t="shared" si="24"/>
        <v>7000</v>
      </c>
      <c r="G56" s="521">
        <f t="shared" si="7"/>
        <v>4.44</v>
      </c>
      <c r="H56" s="234">
        <f t="shared" si="24"/>
        <v>31000</v>
      </c>
      <c r="I56" s="234">
        <f t="shared" si="24"/>
        <v>511000</v>
      </c>
      <c r="J56" s="225">
        <f t="shared" si="24"/>
        <v>300000</v>
      </c>
      <c r="K56" s="226">
        <f t="shared" si="24"/>
        <v>151000</v>
      </c>
    </row>
    <row r="57" spans="1:11" ht="12">
      <c r="A57" s="169">
        <v>17</v>
      </c>
      <c r="B57" s="170">
        <v>2037</v>
      </c>
      <c r="C57" s="171">
        <f aca="true" t="shared" si="25" ref="C57:K57">ROUND(C21,-3)</f>
        <v>3734000</v>
      </c>
      <c r="D57" s="224">
        <f t="shared" si="6"/>
        <v>0.1451637764932563</v>
      </c>
      <c r="E57" s="225">
        <f t="shared" si="25"/>
        <v>542000</v>
      </c>
      <c r="F57" s="225">
        <f t="shared" si="25"/>
        <v>7000</v>
      </c>
      <c r="G57" s="521">
        <f t="shared" si="7"/>
        <v>4.44</v>
      </c>
      <c r="H57" s="234">
        <f t="shared" si="25"/>
        <v>31000</v>
      </c>
      <c r="I57" s="234">
        <f t="shared" si="25"/>
        <v>511000</v>
      </c>
      <c r="J57" s="225">
        <f t="shared" si="25"/>
        <v>291000</v>
      </c>
      <c r="K57" s="226">
        <f t="shared" si="25"/>
        <v>141000</v>
      </c>
    </row>
    <row r="58" spans="1:11" ht="12">
      <c r="A58" s="169">
        <v>18</v>
      </c>
      <c r="B58" s="170">
        <v>2038</v>
      </c>
      <c r="C58" s="171">
        <f aca="true" t="shared" si="26" ref="C58:K58">ROUND(C22,-3)</f>
        <v>3734000</v>
      </c>
      <c r="D58" s="224">
        <f t="shared" si="6"/>
        <v>0.1451637764932563</v>
      </c>
      <c r="E58" s="225">
        <f t="shared" si="26"/>
        <v>542000</v>
      </c>
      <c r="F58" s="225">
        <f t="shared" si="26"/>
        <v>7000</v>
      </c>
      <c r="G58" s="521">
        <f t="shared" si="7"/>
        <v>4.44</v>
      </c>
      <c r="H58" s="234">
        <f t="shared" si="26"/>
        <v>31000</v>
      </c>
      <c r="I58" s="234">
        <f t="shared" si="26"/>
        <v>511000</v>
      </c>
      <c r="J58" s="225">
        <f t="shared" si="26"/>
        <v>283000</v>
      </c>
      <c r="K58" s="226">
        <f t="shared" si="26"/>
        <v>132000</v>
      </c>
    </row>
    <row r="59" spans="1:11" ht="12">
      <c r="A59" s="169">
        <v>19</v>
      </c>
      <c r="B59" s="170">
        <v>2039</v>
      </c>
      <c r="C59" s="171">
        <f aca="true" t="shared" si="27" ref="C59:K59">ROUND(C23,-3)</f>
        <v>3734000</v>
      </c>
      <c r="D59" s="224">
        <f t="shared" si="6"/>
        <v>0.1451637764932563</v>
      </c>
      <c r="E59" s="225">
        <f t="shared" si="27"/>
        <v>542000</v>
      </c>
      <c r="F59" s="225">
        <f t="shared" si="27"/>
        <v>7000</v>
      </c>
      <c r="G59" s="521">
        <f t="shared" si="7"/>
        <v>4.44</v>
      </c>
      <c r="H59" s="234">
        <f t="shared" si="27"/>
        <v>31000</v>
      </c>
      <c r="I59" s="234">
        <f t="shared" si="27"/>
        <v>511000</v>
      </c>
      <c r="J59" s="225">
        <f t="shared" si="27"/>
        <v>275000</v>
      </c>
      <c r="K59" s="226">
        <f t="shared" si="27"/>
        <v>123000</v>
      </c>
    </row>
    <row r="60" spans="1:11" ht="12">
      <c r="A60" s="169">
        <v>20</v>
      </c>
      <c r="B60" s="170">
        <v>2040</v>
      </c>
      <c r="C60" s="171">
        <f aca="true" t="shared" si="28" ref="C60:K60">ROUND(C24,-3)</f>
        <v>3734000</v>
      </c>
      <c r="D60" s="224">
        <f t="shared" si="6"/>
        <v>0.1451637764932563</v>
      </c>
      <c r="E60" s="225">
        <f t="shared" si="28"/>
        <v>542000</v>
      </c>
      <c r="F60" s="225">
        <f t="shared" si="28"/>
        <v>7000</v>
      </c>
      <c r="G60" s="521">
        <f t="shared" si="7"/>
        <v>4.44</v>
      </c>
      <c r="H60" s="234">
        <f t="shared" si="28"/>
        <v>31000</v>
      </c>
      <c r="I60" s="234">
        <f t="shared" si="28"/>
        <v>511000</v>
      </c>
      <c r="J60" s="225">
        <f t="shared" si="28"/>
        <v>267000</v>
      </c>
      <c r="K60" s="226">
        <f t="shared" si="28"/>
        <v>115000</v>
      </c>
    </row>
    <row r="61" spans="1:11" ht="12">
      <c r="A61" s="169">
        <v>21</v>
      </c>
      <c r="B61" s="170">
        <v>2041</v>
      </c>
      <c r="C61" s="171">
        <f aca="true" t="shared" si="29" ref="C61:K61">ROUND(C25,-3)</f>
        <v>3734000</v>
      </c>
      <c r="D61" s="224">
        <f t="shared" si="6"/>
        <v>0.1451637764932563</v>
      </c>
      <c r="E61" s="225">
        <f t="shared" si="29"/>
        <v>542000</v>
      </c>
      <c r="F61" s="225">
        <f t="shared" si="29"/>
        <v>7000</v>
      </c>
      <c r="G61" s="521">
        <f t="shared" si="7"/>
        <v>4.44</v>
      </c>
      <c r="H61" s="234">
        <f t="shared" si="29"/>
        <v>31000</v>
      </c>
      <c r="I61" s="234">
        <f t="shared" si="29"/>
        <v>511000</v>
      </c>
      <c r="J61" s="225">
        <f t="shared" si="29"/>
        <v>259000</v>
      </c>
      <c r="K61" s="226">
        <f t="shared" si="29"/>
        <v>108000</v>
      </c>
    </row>
    <row r="62" spans="1:11" ht="12">
      <c r="A62" s="169">
        <v>22</v>
      </c>
      <c r="B62" s="170">
        <v>2042</v>
      </c>
      <c r="C62" s="171">
        <f aca="true" t="shared" si="30" ref="C62:K62">ROUND(C26,-3)</f>
        <v>3734000</v>
      </c>
      <c r="D62" s="224">
        <f t="shared" si="6"/>
        <v>0.1451637764932563</v>
      </c>
      <c r="E62" s="225">
        <f t="shared" si="30"/>
        <v>542000</v>
      </c>
      <c r="F62" s="225">
        <f t="shared" si="30"/>
        <v>7000</v>
      </c>
      <c r="G62" s="521">
        <f t="shared" si="7"/>
        <v>4.44</v>
      </c>
      <c r="H62" s="234">
        <f t="shared" si="30"/>
        <v>31000</v>
      </c>
      <c r="I62" s="234">
        <f t="shared" si="30"/>
        <v>511000</v>
      </c>
      <c r="J62" s="225">
        <f t="shared" si="30"/>
        <v>251000</v>
      </c>
      <c r="K62" s="226">
        <f t="shared" si="30"/>
        <v>101000</v>
      </c>
    </row>
    <row r="63" spans="1:11" ht="12">
      <c r="A63" s="169">
        <v>23</v>
      </c>
      <c r="B63" s="170">
        <v>2043</v>
      </c>
      <c r="C63" s="171">
        <f aca="true" t="shared" si="31" ref="C63:K63">ROUND(C27,-3)</f>
        <v>3734000</v>
      </c>
      <c r="D63" s="224">
        <f t="shared" si="6"/>
        <v>0.1451637764932563</v>
      </c>
      <c r="E63" s="225">
        <f t="shared" si="31"/>
        <v>542000</v>
      </c>
      <c r="F63" s="225">
        <f t="shared" si="31"/>
        <v>7000</v>
      </c>
      <c r="G63" s="521">
        <f t="shared" si="7"/>
        <v>4.44</v>
      </c>
      <c r="H63" s="234">
        <f t="shared" si="31"/>
        <v>31000</v>
      </c>
      <c r="I63" s="234">
        <f t="shared" si="31"/>
        <v>511000</v>
      </c>
      <c r="J63" s="225">
        <f t="shared" si="31"/>
        <v>244000</v>
      </c>
      <c r="K63" s="226">
        <f t="shared" si="31"/>
        <v>94000</v>
      </c>
    </row>
    <row r="64" spans="1:11" ht="12">
      <c r="A64" s="169">
        <v>24</v>
      </c>
      <c r="B64" s="170">
        <v>2044</v>
      </c>
      <c r="C64" s="171">
        <f aca="true" t="shared" si="32" ref="C64:K64">ROUND(C28,-3)</f>
        <v>3734000</v>
      </c>
      <c r="D64" s="224">
        <f t="shared" si="6"/>
        <v>0.1451637764932563</v>
      </c>
      <c r="E64" s="225">
        <f t="shared" si="32"/>
        <v>542000</v>
      </c>
      <c r="F64" s="225">
        <f t="shared" si="32"/>
        <v>7000</v>
      </c>
      <c r="G64" s="521">
        <f t="shared" si="7"/>
        <v>4.44</v>
      </c>
      <c r="H64" s="234">
        <f t="shared" si="32"/>
        <v>31000</v>
      </c>
      <c r="I64" s="234">
        <f t="shared" si="32"/>
        <v>511000</v>
      </c>
      <c r="J64" s="225">
        <f t="shared" si="32"/>
        <v>237000</v>
      </c>
      <c r="K64" s="226">
        <f t="shared" si="32"/>
        <v>88000</v>
      </c>
    </row>
    <row r="65" spans="1:11" ht="12">
      <c r="A65" s="169">
        <v>25</v>
      </c>
      <c r="B65" s="170">
        <v>2045</v>
      </c>
      <c r="C65" s="171">
        <f aca="true" t="shared" si="33" ref="C65:K65">ROUND(C29,-3)</f>
        <v>3734000</v>
      </c>
      <c r="D65" s="224">
        <f t="shared" si="6"/>
        <v>0.1451637764932563</v>
      </c>
      <c r="E65" s="225">
        <f t="shared" si="33"/>
        <v>542000</v>
      </c>
      <c r="F65" s="225">
        <f t="shared" si="33"/>
        <v>7000</v>
      </c>
      <c r="G65" s="521">
        <f t="shared" si="7"/>
        <v>4.44</v>
      </c>
      <c r="H65" s="234">
        <f t="shared" si="33"/>
        <v>31000</v>
      </c>
      <c r="I65" s="234">
        <f t="shared" si="33"/>
        <v>511000</v>
      </c>
      <c r="J65" s="225">
        <f t="shared" si="33"/>
        <v>230000</v>
      </c>
      <c r="K65" s="226">
        <f t="shared" si="33"/>
        <v>82000</v>
      </c>
    </row>
    <row r="66" spans="1:11" ht="12">
      <c r="A66" s="169">
        <v>26</v>
      </c>
      <c r="B66" s="170">
        <v>2046</v>
      </c>
      <c r="C66" s="171">
        <f aca="true" t="shared" si="34" ref="C66:K66">ROUND(C30,-3)</f>
        <v>3734000</v>
      </c>
      <c r="D66" s="224">
        <f t="shared" si="6"/>
        <v>0.1451637764932563</v>
      </c>
      <c r="E66" s="225">
        <f t="shared" si="34"/>
        <v>542000</v>
      </c>
      <c r="F66" s="225">
        <f t="shared" si="34"/>
        <v>7000</v>
      </c>
      <c r="G66" s="521">
        <f t="shared" si="7"/>
        <v>4.44</v>
      </c>
      <c r="H66" s="234">
        <f t="shared" si="34"/>
        <v>31000</v>
      </c>
      <c r="I66" s="234">
        <f t="shared" si="34"/>
        <v>511000</v>
      </c>
      <c r="J66" s="225">
        <f t="shared" si="34"/>
        <v>223000</v>
      </c>
      <c r="K66" s="226">
        <f t="shared" si="34"/>
        <v>77000</v>
      </c>
    </row>
    <row r="67" spans="1:11" ht="12">
      <c r="A67" s="169">
        <v>27</v>
      </c>
      <c r="B67" s="170">
        <v>2047</v>
      </c>
      <c r="C67" s="171">
        <f aca="true" t="shared" si="35" ref="C67:K67">ROUND(C31,-3)</f>
        <v>3734000</v>
      </c>
      <c r="D67" s="224">
        <f t="shared" si="6"/>
        <v>0.1451637764932563</v>
      </c>
      <c r="E67" s="225">
        <f t="shared" si="35"/>
        <v>542000</v>
      </c>
      <c r="F67" s="225">
        <f t="shared" si="35"/>
        <v>7000</v>
      </c>
      <c r="G67" s="521">
        <f t="shared" si="7"/>
        <v>4.44</v>
      </c>
      <c r="H67" s="234">
        <f t="shared" si="35"/>
        <v>31000</v>
      </c>
      <c r="I67" s="234">
        <f t="shared" si="35"/>
        <v>511000</v>
      </c>
      <c r="J67" s="225">
        <f t="shared" si="35"/>
        <v>217000</v>
      </c>
      <c r="K67" s="226">
        <f t="shared" si="35"/>
        <v>72000</v>
      </c>
    </row>
    <row r="68" spans="1:11" ht="12">
      <c r="A68" s="169">
        <v>28</v>
      </c>
      <c r="B68" s="170">
        <v>2048</v>
      </c>
      <c r="C68" s="171">
        <f aca="true" t="shared" si="36" ref="C68:K68">ROUND(C32,-3)</f>
        <v>3734000</v>
      </c>
      <c r="D68" s="224">
        <f t="shared" si="6"/>
        <v>0.1451637764932563</v>
      </c>
      <c r="E68" s="225">
        <f t="shared" si="36"/>
        <v>542000</v>
      </c>
      <c r="F68" s="225">
        <f t="shared" si="36"/>
        <v>7000</v>
      </c>
      <c r="G68" s="521">
        <f t="shared" si="7"/>
        <v>4.44</v>
      </c>
      <c r="H68" s="234">
        <f t="shared" si="36"/>
        <v>31000</v>
      </c>
      <c r="I68" s="234">
        <f t="shared" si="36"/>
        <v>511000</v>
      </c>
      <c r="J68" s="225">
        <f t="shared" si="36"/>
        <v>211000</v>
      </c>
      <c r="K68" s="226">
        <f t="shared" si="36"/>
        <v>67000</v>
      </c>
    </row>
    <row r="69" spans="1:11" ht="12">
      <c r="A69" s="169">
        <v>29</v>
      </c>
      <c r="B69" s="170">
        <v>2049</v>
      </c>
      <c r="C69" s="171">
        <f aca="true" t="shared" si="37" ref="C69:K69">ROUND(C33,-3)</f>
        <v>3734000</v>
      </c>
      <c r="D69" s="224">
        <f t="shared" si="6"/>
        <v>0.1451637764932563</v>
      </c>
      <c r="E69" s="225">
        <f t="shared" si="37"/>
        <v>542000</v>
      </c>
      <c r="F69" s="225">
        <f t="shared" si="37"/>
        <v>7000</v>
      </c>
      <c r="G69" s="521">
        <f t="shared" si="7"/>
        <v>4.44</v>
      </c>
      <c r="H69" s="234">
        <f t="shared" si="37"/>
        <v>31000</v>
      </c>
      <c r="I69" s="234">
        <f t="shared" si="37"/>
        <v>511000</v>
      </c>
      <c r="J69" s="225">
        <f t="shared" si="37"/>
        <v>204000</v>
      </c>
      <c r="K69" s="226">
        <f t="shared" si="37"/>
        <v>63000</v>
      </c>
    </row>
    <row r="70" spans="1:11" ht="12">
      <c r="A70" s="169">
        <v>30</v>
      </c>
      <c r="B70" s="170">
        <v>2050</v>
      </c>
      <c r="C70" s="171">
        <f aca="true" t="shared" si="38" ref="C70:K70">ROUND(C34,-3)</f>
        <v>3734000</v>
      </c>
      <c r="D70" s="224">
        <f t="shared" si="6"/>
        <v>0.1451637764932563</v>
      </c>
      <c r="E70" s="225">
        <f t="shared" si="38"/>
        <v>542000</v>
      </c>
      <c r="F70" s="225">
        <f t="shared" si="38"/>
        <v>7000</v>
      </c>
      <c r="G70" s="521">
        <f t="shared" si="7"/>
        <v>4.44</v>
      </c>
      <c r="H70" s="234">
        <f t="shared" si="38"/>
        <v>31000</v>
      </c>
      <c r="I70" s="234">
        <f t="shared" si="38"/>
        <v>511000</v>
      </c>
      <c r="J70" s="225">
        <f t="shared" si="38"/>
        <v>198000</v>
      </c>
      <c r="K70" s="226">
        <f t="shared" si="38"/>
        <v>59000</v>
      </c>
    </row>
    <row r="71" spans="1:11" ht="12.75" thickBot="1">
      <c r="A71" s="643" t="s">
        <v>0</v>
      </c>
      <c r="B71" s="644"/>
      <c r="C71" s="194">
        <f aca="true" t="shared" si="39" ref="C71:K71">ROUND(C35,-3)</f>
        <v>112671000</v>
      </c>
      <c r="D71" s="227"/>
      <c r="E71" s="228">
        <f t="shared" si="39"/>
        <v>16356000</v>
      </c>
      <c r="F71" s="228">
        <f t="shared" si="39"/>
        <v>210000</v>
      </c>
      <c r="G71" s="523"/>
      <c r="H71" s="228">
        <f t="shared" si="39"/>
        <v>934000</v>
      </c>
      <c r="I71" s="228">
        <f t="shared" si="39"/>
        <v>15422000</v>
      </c>
      <c r="J71" s="228">
        <f t="shared" si="39"/>
        <v>9518000</v>
      </c>
      <c r="K71" s="229">
        <f t="shared" si="39"/>
        <v>5600000</v>
      </c>
    </row>
  </sheetData>
  <sheetProtection/>
  <mergeCells count="2">
    <mergeCell ref="A35:B35"/>
    <mergeCell ref="A71:B71"/>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G71"/>
  <sheetViews>
    <sheetView zoomScalePageLayoutView="0" workbookViewId="0" topLeftCell="A1">
      <selection activeCell="D14" sqref="D14"/>
    </sheetView>
  </sheetViews>
  <sheetFormatPr defaultColWidth="9.140625" defaultRowHeight="12.75"/>
  <cols>
    <col min="1" max="1" width="9.140625" style="17" customWidth="1"/>
    <col min="2" max="2" width="9.28125" style="17" bestFit="1" customWidth="1"/>
    <col min="3" max="3" width="15.7109375" style="1" customWidth="1"/>
    <col min="4" max="4" width="15.7109375" style="4" customWidth="1"/>
    <col min="5" max="7" width="15.7109375" style="1" customWidth="1"/>
    <col min="8" max="16384" width="9.140625" style="1" customWidth="1"/>
  </cols>
  <sheetData>
    <row r="1" spans="1:7" s="18" customFormat="1" ht="72">
      <c r="A1" s="156" t="s">
        <v>64</v>
      </c>
      <c r="B1" s="201" t="s">
        <v>1</v>
      </c>
      <c r="C1" s="201" t="s">
        <v>465</v>
      </c>
      <c r="D1" s="201" t="s">
        <v>353</v>
      </c>
      <c r="E1" s="157" t="s">
        <v>354</v>
      </c>
      <c r="F1" s="157" t="s">
        <v>355</v>
      </c>
      <c r="G1" s="158" t="s">
        <v>356</v>
      </c>
    </row>
    <row r="2" spans="1:7" ht="12.75">
      <c r="A2" s="169">
        <v>-2</v>
      </c>
      <c r="B2" s="100">
        <v>2018</v>
      </c>
      <c r="C2" s="459">
        <f>'Truck Travel Time Savings'!I2/60</f>
        <v>0</v>
      </c>
      <c r="D2" s="351">
        <f>Inputs!$B$39</f>
        <v>28.6</v>
      </c>
      <c r="E2" s="460">
        <f>C2*D2</f>
        <v>0</v>
      </c>
      <c r="F2" s="460">
        <f>E2/((1+Inputs!$B$6)^(B2-Inputs!$B$10))</f>
        <v>0</v>
      </c>
      <c r="G2" s="461">
        <f>E2/((1+Inputs!$B$5)^(B2-Inputs!$B$10))</f>
        <v>0</v>
      </c>
    </row>
    <row r="3" spans="1:7" ht="12.75">
      <c r="A3" s="169">
        <v>-1</v>
      </c>
      <c r="B3" s="206">
        <v>2019</v>
      </c>
      <c r="C3" s="459">
        <f>'Truck Travel Time Savings'!I3/60</f>
        <v>0</v>
      </c>
      <c r="D3" s="351">
        <f>Inputs!$B$39</f>
        <v>28.6</v>
      </c>
      <c r="E3" s="460">
        <f aca="true" t="shared" si="0" ref="E3:E33">C3*D3</f>
        <v>0</v>
      </c>
      <c r="F3" s="460">
        <f>E3/((1+Inputs!$B$6)^(B3-Inputs!$B$10))</f>
        <v>0</v>
      </c>
      <c r="G3" s="461">
        <f>E3/((1+Inputs!$B$5)^(B3-Inputs!$B$10))</f>
        <v>0</v>
      </c>
    </row>
    <row r="4" spans="1:7" ht="12.75">
      <c r="A4" s="169">
        <v>0</v>
      </c>
      <c r="B4" s="206">
        <v>2020</v>
      </c>
      <c r="C4" s="459">
        <f>'Truck Travel Time Savings'!I4/60</f>
        <v>0</v>
      </c>
      <c r="D4" s="351">
        <f>Inputs!$B$39</f>
        <v>28.6</v>
      </c>
      <c r="E4" s="460">
        <f t="shared" si="0"/>
        <v>0</v>
      </c>
      <c r="F4" s="460">
        <f>E4/((1+Inputs!$B$6)^(B4-Inputs!$B$10))</f>
        <v>0</v>
      </c>
      <c r="G4" s="461">
        <f>E4/((1+Inputs!$B$5)^(B4-Inputs!$B$10))</f>
        <v>0</v>
      </c>
    </row>
    <row r="5" spans="1:7" ht="12.75">
      <c r="A5" s="169">
        <v>1</v>
      </c>
      <c r="B5" s="206">
        <v>2021</v>
      </c>
      <c r="C5" s="462">
        <f>'Truck Travel Time Savings'!I5/60</f>
        <v>41225.80082110961</v>
      </c>
      <c r="D5" s="351">
        <f>Inputs!$B$39</f>
        <v>28.6</v>
      </c>
      <c r="E5" s="463">
        <f t="shared" si="0"/>
        <v>1179057.903483735</v>
      </c>
      <c r="F5" s="460">
        <f>E5/((1+Inputs!$B$6)^(B5-Inputs!$B$10))</f>
        <v>1079005.0062675627</v>
      </c>
      <c r="G5" s="464">
        <f>E5/((1+Inputs!$B$5)^(B5-Inputs!$B$10))</f>
        <v>962462.4633451519</v>
      </c>
    </row>
    <row r="6" spans="1:7" ht="12.75">
      <c r="A6" s="169">
        <v>2</v>
      </c>
      <c r="B6" s="206">
        <v>2022</v>
      </c>
      <c r="C6" s="462">
        <f>'Truck Travel Time Savings'!I6/60</f>
        <v>46108.61332110961</v>
      </c>
      <c r="D6" s="351">
        <f>Inputs!$B$39</f>
        <v>28.6</v>
      </c>
      <c r="E6" s="234">
        <f t="shared" si="0"/>
        <v>1318706.340983735</v>
      </c>
      <c r="F6" s="460">
        <f>E6/((1+Inputs!$B$6)^(B6-Inputs!$B$10))</f>
        <v>1171653.5039683385</v>
      </c>
      <c r="G6" s="236">
        <f>E6/((1+Inputs!$B$5)^(B6-Inputs!$B$10))</f>
        <v>1006034.7536332025</v>
      </c>
    </row>
    <row r="7" spans="1:7" ht="12.75">
      <c r="A7" s="169">
        <v>3</v>
      </c>
      <c r="B7" s="206">
        <v>2023</v>
      </c>
      <c r="C7" s="462">
        <f>'Truck Travel Time Savings'!I7/60</f>
        <v>50991.42582110961</v>
      </c>
      <c r="D7" s="351">
        <f>Inputs!$B$39</f>
        <v>28.6</v>
      </c>
      <c r="E7" s="234">
        <f t="shared" si="0"/>
        <v>1458354.778483735</v>
      </c>
      <c r="F7" s="460">
        <f>E7/((1+Inputs!$B$6)^(B7-Inputs!$B$10))</f>
        <v>1257989.6426686915</v>
      </c>
      <c r="G7" s="236">
        <f>E7/((1+Inputs!$B$5)^(B7-Inputs!$B$10))</f>
        <v>1039786.8018428696</v>
      </c>
    </row>
    <row r="8" spans="1:7" ht="12.75">
      <c r="A8" s="169">
        <v>4</v>
      </c>
      <c r="B8" s="206">
        <v>2024</v>
      </c>
      <c r="C8" s="462">
        <f>'Truck Travel Time Savings'!I8/60</f>
        <v>55874.23832110961</v>
      </c>
      <c r="D8" s="351">
        <f>Inputs!$B$39</f>
        <v>28.6</v>
      </c>
      <c r="E8" s="234">
        <f t="shared" si="0"/>
        <v>1598003.215983735</v>
      </c>
      <c r="F8" s="460">
        <f>E8/((1+Inputs!$B$6)^(B8-Inputs!$B$10))</f>
        <v>1338302.5355162276</v>
      </c>
      <c r="G8" s="236">
        <f>E8/((1+Inputs!$B$5)^(B8-Inputs!$B$10))</f>
        <v>1064817.0166045406</v>
      </c>
    </row>
    <row r="9" spans="1:7" ht="12.75">
      <c r="A9" s="169">
        <v>5</v>
      </c>
      <c r="B9" s="206">
        <v>2025</v>
      </c>
      <c r="C9" s="462">
        <f>'Truck Travel Time Savings'!I9/60</f>
        <v>60757.05082110961</v>
      </c>
      <c r="D9" s="351">
        <f>Inputs!$B$39</f>
        <v>28.6</v>
      </c>
      <c r="E9" s="234">
        <f t="shared" si="0"/>
        <v>1737651.653483735</v>
      </c>
      <c r="F9" s="460">
        <f>E9/((1+Inputs!$B$6)^(B9-Inputs!$B$10))</f>
        <v>1412869.8091193677</v>
      </c>
      <c r="G9" s="236">
        <f>E9/((1+Inputs!$B$5)^(B9-Inputs!$B$10))</f>
        <v>1082122.118692329</v>
      </c>
    </row>
    <row r="10" spans="1:7" ht="12.75">
      <c r="A10" s="169">
        <v>6</v>
      </c>
      <c r="B10" s="206">
        <v>2026</v>
      </c>
      <c r="C10" s="462">
        <f>'Truck Travel Time Savings'!I10/60</f>
        <v>60757.05082110961</v>
      </c>
      <c r="D10" s="351">
        <f>Inputs!$B$39</f>
        <v>28.6</v>
      </c>
      <c r="E10" s="234">
        <f t="shared" si="0"/>
        <v>1737651.653483735</v>
      </c>
      <c r="F10" s="460">
        <f>E10/((1+Inputs!$B$6)^(B10-Inputs!$B$10))</f>
        <v>1371718.2612809397</v>
      </c>
      <c r="G10" s="236">
        <f>E10/((1+Inputs!$B$5)^(B10-Inputs!$B$10))</f>
        <v>1011329.082890027</v>
      </c>
    </row>
    <row r="11" spans="1:7" ht="12.75">
      <c r="A11" s="169">
        <v>7</v>
      </c>
      <c r="B11" s="206">
        <v>2027</v>
      </c>
      <c r="C11" s="462">
        <f>'Truck Travel Time Savings'!I11/60</f>
        <v>34715.384154442945</v>
      </c>
      <c r="D11" s="351">
        <f>Inputs!$B$39</f>
        <v>28.6</v>
      </c>
      <c r="E11" s="234">
        <f t="shared" si="0"/>
        <v>992859.9868170683</v>
      </c>
      <c r="F11" s="460">
        <f>E11/((1+Inputs!$B$6)^(B11-Inputs!$B$10))</f>
        <v>760944.506771074</v>
      </c>
      <c r="G11" s="236">
        <f>E11/((1+Inputs!$B$5)^(B11-Inputs!$B$10))</f>
        <v>540050.0484914558</v>
      </c>
    </row>
    <row r="12" spans="1:7" ht="12.75">
      <c r="A12" s="169">
        <v>8</v>
      </c>
      <c r="B12" s="206">
        <v>2028</v>
      </c>
      <c r="C12" s="462">
        <f>'Truck Travel Time Savings'!I12/60</f>
        <v>34715.384154442945</v>
      </c>
      <c r="D12" s="351">
        <f>Inputs!$B$39</f>
        <v>28.6</v>
      </c>
      <c r="E12" s="234">
        <f t="shared" si="0"/>
        <v>992859.9868170683</v>
      </c>
      <c r="F12" s="460">
        <f>E12/((1+Inputs!$B$6)^(B12-Inputs!$B$10))</f>
        <v>738781.0745350233</v>
      </c>
      <c r="G12" s="236">
        <f>E12/((1+Inputs!$B$5)^(B12-Inputs!$B$10))</f>
        <v>504719.6714873419</v>
      </c>
    </row>
    <row r="13" spans="1:7" ht="12.75">
      <c r="A13" s="169">
        <v>9</v>
      </c>
      <c r="B13" s="206">
        <v>2029</v>
      </c>
      <c r="C13" s="462">
        <f>'Truck Travel Time Savings'!I13/60</f>
        <v>34715.384154442945</v>
      </c>
      <c r="D13" s="351">
        <f>Inputs!$B$39</f>
        <v>28.6</v>
      </c>
      <c r="E13" s="234">
        <f t="shared" si="0"/>
        <v>992859.9868170683</v>
      </c>
      <c r="F13" s="460">
        <f>E13/((1+Inputs!$B$6)^(B13-Inputs!$B$10))</f>
        <v>717263.1791602168</v>
      </c>
      <c r="G13" s="236">
        <f>E13/((1+Inputs!$B$5)^(B13-Inputs!$B$10))</f>
        <v>471700.6275582634</v>
      </c>
    </row>
    <row r="14" spans="1:7" ht="12.75">
      <c r="A14" s="169">
        <v>10</v>
      </c>
      <c r="B14" s="206">
        <v>2030</v>
      </c>
      <c r="C14" s="462">
        <f>'Truck Travel Time Savings'!I14/60</f>
        <v>34715.384154442945</v>
      </c>
      <c r="D14" s="351">
        <f>Inputs!$B$39</f>
        <v>28.6</v>
      </c>
      <c r="E14" s="234">
        <f t="shared" si="0"/>
        <v>992859.9868170683</v>
      </c>
      <c r="F14" s="460">
        <f>E14/((1+Inputs!$B$6)^(B14-Inputs!$B$10))</f>
        <v>696372.0186021524</v>
      </c>
      <c r="G14" s="236">
        <f>E14/((1+Inputs!$B$5)^(B14-Inputs!$B$10))</f>
        <v>440841.7079983771</v>
      </c>
    </row>
    <row r="15" spans="1:7" ht="12.75">
      <c r="A15" s="169">
        <v>11</v>
      </c>
      <c r="B15" s="206">
        <v>2031</v>
      </c>
      <c r="C15" s="462">
        <f>'Truck Travel Time Savings'!I15/60</f>
        <v>34715.384154442945</v>
      </c>
      <c r="D15" s="351">
        <f>Inputs!$B$39</f>
        <v>28.6</v>
      </c>
      <c r="E15" s="234">
        <f t="shared" si="0"/>
        <v>992859.9868170683</v>
      </c>
      <c r="F15" s="460">
        <f>E15/((1+Inputs!$B$6)^(B15-Inputs!$B$10))</f>
        <v>676089.3384486916</v>
      </c>
      <c r="G15" s="236">
        <f>E15/((1+Inputs!$B$5)^(B15-Inputs!$B$10))</f>
        <v>412001.5962601655</v>
      </c>
    </row>
    <row r="16" spans="1:7" ht="12.75">
      <c r="A16" s="169">
        <v>12</v>
      </c>
      <c r="B16" s="206">
        <v>2032</v>
      </c>
      <c r="C16" s="462">
        <f>'Truck Travel Time Savings'!I16/60</f>
        <v>34715.384154442945</v>
      </c>
      <c r="D16" s="351">
        <f>Inputs!$B$39</f>
        <v>28.6</v>
      </c>
      <c r="E16" s="234">
        <f t="shared" si="0"/>
        <v>992859.9868170683</v>
      </c>
      <c r="F16" s="460">
        <f>E16/((1+Inputs!$B$6)^(B16-Inputs!$B$10))</f>
        <v>656397.4159696035</v>
      </c>
      <c r="G16" s="236">
        <f>E16/((1+Inputs!$B$5)^(B16-Inputs!$B$10))</f>
        <v>385048.220803893</v>
      </c>
    </row>
    <row r="17" spans="1:7" ht="12.75">
      <c r="A17" s="169">
        <v>13</v>
      </c>
      <c r="B17" s="206">
        <v>2033</v>
      </c>
      <c r="C17" s="462">
        <f>'Truck Travel Time Savings'!I17/60</f>
        <v>34715.384154442945</v>
      </c>
      <c r="D17" s="351">
        <f>Inputs!$B$39</f>
        <v>28.6</v>
      </c>
      <c r="E17" s="234">
        <f t="shared" si="0"/>
        <v>992859.9868170683</v>
      </c>
      <c r="F17" s="460">
        <f>E17/((1+Inputs!$B$6)^(B17-Inputs!$B$10))</f>
        <v>637279.0446306829</v>
      </c>
      <c r="G17" s="236">
        <f>E17/((1+Inputs!$B$5)^(B17-Inputs!$B$10))</f>
        <v>359858.1502840121</v>
      </c>
    </row>
    <row r="18" spans="1:7" ht="12.75">
      <c r="A18" s="169">
        <v>14</v>
      </c>
      <c r="B18" s="206">
        <v>2034</v>
      </c>
      <c r="C18" s="462">
        <f>'Truck Travel Time Savings'!I18/60</f>
        <v>34715.384154442945</v>
      </c>
      <c r="D18" s="351">
        <f>Inputs!$B$39</f>
        <v>28.6</v>
      </c>
      <c r="E18" s="234">
        <f t="shared" si="0"/>
        <v>992859.9868170683</v>
      </c>
      <c r="F18" s="460">
        <f>E18/((1+Inputs!$B$6)^(B18-Inputs!$B$10))</f>
        <v>618717.5190589156</v>
      </c>
      <c r="G18" s="236">
        <f>E18/((1+Inputs!$B$5)^(B18-Inputs!$B$10))</f>
        <v>336316.0283028151</v>
      </c>
    </row>
    <row r="19" spans="1:7" ht="12.75">
      <c r="A19" s="169">
        <v>15</v>
      </c>
      <c r="B19" s="206">
        <v>2035</v>
      </c>
      <c r="C19" s="462">
        <f>'Truck Travel Time Savings'!I19/60</f>
        <v>34715.384154442945</v>
      </c>
      <c r="D19" s="351">
        <f>Inputs!$B$39</f>
        <v>28.6</v>
      </c>
      <c r="E19" s="234">
        <f t="shared" si="0"/>
        <v>992859.9868170683</v>
      </c>
      <c r="F19" s="460">
        <f>E19/((1+Inputs!$B$6)^(B19-Inputs!$B$10))</f>
        <v>600696.6204455491</v>
      </c>
      <c r="G19" s="236">
        <f>E19/((1+Inputs!$B$5)^(B19-Inputs!$B$10))</f>
        <v>314314.04514281783</v>
      </c>
    </row>
    <row r="20" spans="1:7" ht="12.75">
      <c r="A20" s="169">
        <v>16</v>
      </c>
      <c r="B20" s="206">
        <v>2036</v>
      </c>
      <c r="C20" s="462">
        <f>'Truck Travel Time Savings'!I20/60</f>
        <v>34715.384154442945</v>
      </c>
      <c r="D20" s="351">
        <f>Inputs!$B$39</f>
        <v>28.6</v>
      </c>
      <c r="E20" s="234">
        <f t="shared" si="0"/>
        <v>992859.9868170683</v>
      </c>
      <c r="F20" s="460">
        <f>E20/((1+Inputs!$B$6)^(B20-Inputs!$B$10))</f>
        <v>583200.6023743195</v>
      </c>
      <c r="G20" s="236">
        <f>E20/((1+Inputs!$B$5)^(B20-Inputs!$B$10))</f>
        <v>293751.44405870826</v>
      </c>
    </row>
    <row r="21" spans="1:7" ht="12.75">
      <c r="A21" s="169">
        <v>17</v>
      </c>
      <c r="B21" s="206">
        <v>2037</v>
      </c>
      <c r="C21" s="462">
        <f>'Truck Travel Time Savings'!I21/60</f>
        <v>34715.384154442945</v>
      </c>
      <c r="D21" s="351">
        <f>Inputs!$B$39</f>
        <v>28.6</v>
      </c>
      <c r="E21" s="234">
        <f t="shared" si="0"/>
        <v>992859.9868170683</v>
      </c>
      <c r="F21" s="460">
        <f>E21/((1+Inputs!$B$6)^(B21-Inputs!$B$10))</f>
        <v>566214.1770624461</v>
      </c>
      <c r="G21" s="236">
        <f>E21/((1+Inputs!$B$5)^(B21-Inputs!$B$10))</f>
        <v>274534.0598679516</v>
      </c>
    </row>
    <row r="22" spans="1:7" ht="12.75">
      <c r="A22" s="169">
        <v>18</v>
      </c>
      <c r="B22" s="206">
        <v>2038</v>
      </c>
      <c r="C22" s="462">
        <f>'Truck Travel Time Savings'!I22/60</f>
        <v>34715.384154442945</v>
      </c>
      <c r="D22" s="351">
        <f>Inputs!$B$39</f>
        <v>28.6</v>
      </c>
      <c r="E22" s="234">
        <f t="shared" si="0"/>
        <v>992859.9868170683</v>
      </c>
      <c r="F22" s="460">
        <f>E22/((1+Inputs!$B$6)^(B22-Inputs!$B$10))</f>
        <v>549722.5020023749</v>
      </c>
      <c r="G22" s="236">
        <f>E22/((1+Inputs!$B$5)^(B22-Inputs!$B$10))</f>
        <v>256573.88772705762</v>
      </c>
    </row>
    <row r="23" spans="1:7" ht="12.75">
      <c r="A23" s="169">
        <v>19</v>
      </c>
      <c r="B23" s="206">
        <v>2039</v>
      </c>
      <c r="C23" s="462">
        <f>'Truck Travel Time Savings'!I23/60</f>
        <v>34715.384154442945</v>
      </c>
      <c r="D23" s="351">
        <f>Inputs!$B$39</f>
        <v>28.6</v>
      </c>
      <c r="E23" s="234">
        <f t="shared" si="0"/>
        <v>992859.9868170683</v>
      </c>
      <c r="F23" s="460">
        <f>E23/((1+Inputs!$B$6)^(B23-Inputs!$B$10))</f>
        <v>533711.166992597</v>
      </c>
      <c r="G23" s="236">
        <f>E23/((1+Inputs!$B$5)^(B23-Inputs!$B$10))</f>
        <v>239788.68011874543</v>
      </c>
    </row>
    <row r="24" spans="1:7" ht="12.75">
      <c r="A24" s="169">
        <v>20</v>
      </c>
      <c r="B24" s="206">
        <v>2040</v>
      </c>
      <c r="C24" s="462">
        <f>'Truck Travel Time Savings'!I24/60</f>
        <v>34715.384154442945</v>
      </c>
      <c r="D24" s="351">
        <f>Inputs!$B$39</f>
        <v>28.6</v>
      </c>
      <c r="E24" s="234">
        <f t="shared" si="0"/>
        <v>992859.9868170683</v>
      </c>
      <c r="F24" s="460">
        <f>E24/((1+Inputs!$B$6)^(B24-Inputs!$B$10))</f>
        <v>518166.18154621066</v>
      </c>
      <c r="G24" s="236">
        <f>E24/((1+Inputs!$B$5)^(B24-Inputs!$B$10))</f>
        <v>224101.57020443497</v>
      </c>
    </row>
    <row r="25" spans="1:7" ht="12.75">
      <c r="A25" s="169">
        <v>21</v>
      </c>
      <c r="B25" s="206">
        <v>2041</v>
      </c>
      <c r="C25" s="462">
        <f>'Truck Travel Time Savings'!I25/60</f>
        <v>34715.384154442945</v>
      </c>
      <c r="D25" s="351">
        <f>Inputs!$B$39</f>
        <v>28.6</v>
      </c>
      <c r="E25" s="234">
        <f t="shared" si="0"/>
        <v>992859.9868170683</v>
      </c>
      <c r="F25" s="460">
        <f>E25/((1+Inputs!$B$6)^(B25-Inputs!$B$10))</f>
        <v>503073.96266622393</v>
      </c>
      <c r="G25" s="236">
        <f>E25/((1+Inputs!$B$5)^(B25-Inputs!$B$10))</f>
        <v>209440.71981722894</v>
      </c>
    </row>
    <row r="26" spans="1:7" ht="12.75">
      <c r="A26" s="169">
        <v>22</v>
      </c>
      <c r="B26" s="206">
        <v>2042</v>
      </c>
      <c r="C26" s="462">
        <f>'Truck Travel Time Savings'!I26/60</f>
        <v>34715.384154442945</v>
      </c>
      <c r="D26" s="351">
        <f>Inputs!$B$39</f>
        <v>28.6</v>
      </c>
      <c r="E26" s="234">
        <f t="shared" si="0"/>
        <v>992859.9868170683</v>
      </c>
      <c r="F26" s="460">
        <f>E26/((1+Inputs!$B$6)^(B26-Inputs!$B$10))</f>
        <v>488421.3229769165</v>
      </c>
      <c r="G26" s="236">
        <f>E26/((1+Inputs!$B$5)^(B26-Inputs!$B$10))</f>
        <v>195738.99048339154</v>
      </c>
    </row>
    <row r="27" spans="1:7" ht="12.75">
      <c r="A27" s="169">
        <v>23</v>
      </c>
      <c r="B27" s="206">
        <v>2043</v>
      </c>
      <c r="C27" s="462">
        <f>'Truck Travel Time Savings'!I27/60</f>
        <v>34715.384154442945</v>
      </c>
      <c r="D27" s="351">
        <f>Inputs!$B$39</f>
        <v>28.6</v>
      </c>
      <c r="E27" s="234">
        <f t="shared" si="0"/>
        <v>992859.9868170683</v>
      </c>
      <c r="F27" s="460">
        <f>E27/((1+Inputs!$B$6)^(B27-Inputs!$B$10))</f>
        <v>474195.4592008898</v>
      </c>
      <c r="G27" s="236">
        <f>E27/((1+Inputs!$B$5)^(B27-Inputs!$B$10))</f>
        <v>182933.63596578647</v>
      </c>
    </row>
    <row r="28" spans="1:7" ht="12.75">
      <c r="A28" s="169">
        <v>24</v>
      </c>
      <c r="B28" s="206">
        <v>2044</v>
      </c>
      <c r="C28" s="462">
        <f>'Truck Travel Time Savings'!I28/60</f>
        <v>34715.384154442945</v>
      </c>
      <c r="D28" s="351">
        <f>Inputs!$B$39</f>
        <v>28.6</v>
      </c>
      <c r="E28" s="234">
        <f t="shared" si="0"/>
        <v>992859.9868170683</v>
      </c>
      <c r="F28" s="460">
        <f>E28/((1+Inputs!$B$6)^(B28-Inputs!$B$10))</f>
        <v>460383.9409717376</v>
      </c>
      <c r="G28" s="236">
        <f>E28/((1+Inputs!$B$5)^(B28-Inputs!$B$10))</f>
        <v>170966.01492129578</v>
      </c>
    </row>
    <row r="29" spans="1:7" ht="12.75">
      <c r="A29" s="169">
        <v>25</v>
      </c>
      <c r="B29" s="206">
        <v>2045</v>
      </c>
      <c r="C29" s="462">
        <f>'Truck Travel Time Savings'!I29/60</f>
        <v>34715.384154442945</v>
      </c>
      <c r="D29" s="351">
        <f>Inputs!$B$39</f>
        <v>28.6</v>
      </c>
      <c r="E29" s="234">
        <f t="shared" si="0"/>
        <v>992859.9868170683</v>
      </c>
      <c r="F29" s="460">
        <f>E29/((1+Inputs!$B$6)^(B29-Inputs!$B$10))</f>
        <v>446974.69997256086</v>
      </c>
      <c r="G29" s="236">
        <f>E29/((1+Inputs!$B$5)^(B29-Inputs!$B$10))</f>
        <v>159781.32235635116</v>
      </c>
    </row>
    <row r="30" spans="1:7" ht="12.75">
      <c r="A30" s="169">
        <v>26</v>
      </c>
      <c r="B30" s="206">
        <v>2046</v>
      </c>
      <c r="C30" s="462">
        <f>'Truck Travel Time Savings'!I30/60</f>
        <v>34715.384154442945</v>
      </c>
      <c r="D30" s="351">
        <f>Inputs!$B$39</f>
        <v>28.6</v>
      </c>
      <c r="E30" s="234">
        <f t="shared" si="0"/>
        <v>992859.9868170683</v>
      </c>
      <c r="F30" s="460">
        <f>E30/((1+Inputs!$B$6)^(B30-Inputs!$B$10))</f>
        <v>433956.0193908358</v>
      </c>
      <c r="G30" s="236">
        <f>E30/((1+Inputs!$B$5)^(B30-Inputs!$B$10))</f>
        <v>149328.33865079551</v>
      </c>
    </row>
    <row r="31" spans="1:7" ht="12.75">
      <c r="A31" s="169">
        <v>27</v>
      </c>
      <c r="B31" s="206">
        <v>2047</v>
      </c>
      <c r="C31" s="462">
        <f>'Truck Travel Time Savings'!I31/60</f>
        <v>34715.384154442945</v>
      </c>
      <c r="D31" s="351">
        <f>Inputs!$B$39</f>
        <v>28.6</v>
      </c>
      <c r="E31" s="234">
        <f t="shared" si="0"/>
        <v>992859.9868170683</v>
      </c>
      <c r="F31" s="460">
        <f>E31/((1+Inputs!$B$6)^(B31-Inputs!$B$10))</f>
        <v>421316.5236804231</v>
      </c>
      <c r="G31" s="236">
        <f>E31/((1+Inputs!$B$5)^(B31-Inputs!$B$10))</f>
        <v>139559.19500074346</v>
      </c>
    </row>
    <row r="32" spans="1:7" ht="12.75">
      <c r="A32" s="169">
        <v>28</v>
      </c>
      <c r="B32" s="206">
        <v>2048</v>
      </c>
      <c r="C32" s="462">
        <f>'Truck Travel Time Savings'!I32/60</f>
        <v>34715.384154442945</v>
      </c>
      <c r="D32" s="351">
        <f>Inputs!$B$39</f>
        <v>28.6</v>
      </c>
      <c r="E32" s="234">
        <f t="shared" si="0"/>
        <v>992859.9868170683</v>
      </c>
      <c r="F32" s="460">
        <f>E32/((1+Inputs!$B$6)^(B32-Inputs!$B$10))</f>
        <v>409045.16862177005</v>
      </c>
      <c r="G32" s="236">
        <f>E32/((1+Inputs!$B$5)^(B32-Inputs!$B$10))</f>
        <v>130429.15420630231</v>
      </c>
    </row>
    <row r="33" spans="1:7" ht="12.75">
      <c r="A33" s="169">
        <v>29</v>
      </c>
      <c r="B33" s="206">
        <v>2049</v>
      </c>
      <c r="C33" s="462">
        <f>'Truck Travel Time Savings'!I33/60</f>
        <v>34715.384154442945</v>
      </c>
      <c r="D33" s="351">
        <f>Inputs!$B$39</f>
        <v>28.6</v>
      </c>
      <c r="E33" s="234">
        <f t="shared" si="0"/>
        <v>992859.9868170683</v>
      </c>
      <c r="F33" s="460">
        <f>E33/((1+Inputs!$B$6)^(B33-Inputs!$B$10))</f>
        <v>397131.2316716213</v>
      </c>
      <c r="G33" s="236">
        <f>E33/((1+Inputs!$B$5)^(B33-Inputs!$B$10))</f>
        <v>121896.4058002825</v>
      </c>
    </row>
    <row r="34" spans="1:7" ht="12.75">
      <c r="A34" s="469">
        <v>30</v>
      </c>
      <c r="B34" s="476">
        <v>2050</v>
      </c>
      <c r="C34" s="462">
        <f>'Truck Travel Time Savings'!I34/60</f>
        <v>34715.384154442945</v>
      </c>
      <c r="D34" s="351">
        <f>Inputs!$B$39</f>
        <v>28.6</v>
      </c>
      <c r="E34" s="234">
        <f>C34*D34</f>
        <v>992859.9868170683</v>
      </c>
      <c r="F34" s="460">
        <f>E34/((1+Inputs!$B$6)^(B34-Inputs!$B$10))</f>
        <v>385564.30259380717</v>
      </c>
      <c r="G34" s="236">
        <f>E34/((1+Inputs!$B$5)^(B34-Inputs!$B$10))</f>
        <v>113921.87457970329</v>
      </c>
    </row>
    <row r="35" spans="1:7" ht="13.5" thickBot="1">
      <c r="A35" s="616" t="s">
        <v>0</v>
      </c>
      <c r="B35" s="645"/>
      <c r="C35" s="465">
        <f>SUM(C2:C34)</f>
        <v>1148883.3996332882</v>
      </c>
      <c r="D35" s="466"/>
      <c r="E35" s="352">
        <f>SUM(E2:E34)</f>
        <v>32858065.229512062</v>
      </c>
      <c r="F35" s="352">
        <f>SUM(F2:F34)</f>
        <v>20905156.738167774</v>
      </c>
      <c r="G35" s="353">
        <f>SUM(G2:G34)</f>
        <v>12794147.627096042</v>
      </c>
    </row>
    <row r="36" ht="13.5" thickBot="1"/>
    <row r="37" spans="1:7" ht="72">
      <c r="A37" s="156" t="s">
        <v>64</v>
      </c>
      <c r="B37" s="201" t="s">
        <v>1</v>
      </c>
      <c r="C37" s="201" t="s">
        <v>465</v>
      </c>
      <c r="D37" s="201" t="s">
        <v>353</v>
      </c>
      <c r="E37" s="157" t="s">
        <v>354</v>
      </c>
      <c r="F37" s="157" t="s">
        <v>355</v>
      </c>
      <c r="G37" s="158" t="s">
        <v>356</v>
      </c>
    </row>
    <row r="38" spans="1:7" ht="12.75">
      <c r="A38" s="169">
        <v>-2</v>
      </c>
      <c r="B38" s="100">
        <v>2018</v>
      </c>
      <c r="C38" s="459">
        <f>ROUND(C2,-3)</f>
        <v>0</v>
      </c>
      <c r="D38" s="351">
        <f>Inputs!$B$39</f>
        <v>28.6</v>
      </c>
      <c r="E38" s="460">
        <f aca="true" t="shared" si="1" ref="E38:G57">ROUND(E2,-3)</f>
        <v>0</v>
      </c>
      <c r="F38" s="460">
        <f t="shared" si="1"/>
        <v>0</v>
      </c>
      <c r="G38" s="461">
        <f t="shared" si="1"/>
        <v>0</v>
      </c>
    </row>
    <row r="39" spans="1:7" ht="12.75">
      <c r="A39" s="169">
        <v>-1</v>
      </c>
      <c r="B39" s="206">
        <v>2019</v>
      </c>
      <c r="C39" s="459">
        <f aca="true" t="shared" si="2" ref="C39:C71">ROUND(C3,-3)</f>
        <v>0</v>
      </c>
      <c r="D39" s="351">
        <f>Inputs!$B$39</f>
        <v>28.6</v>
      </c>
      <c r="E39" s="460">
        <f t="shared" si="1"/>
        <v>0</v>
      </c>
      <c r="F39" s="460">
        <f t="shared" si="1"/>
        <v>0</v>
      </c>
      <c r="G39" s="461">
        <f t="shared" si="1"/>
        <v>0</v>
      </c>
    </row>
    <row r="40" spans="1:7" ht="12.75">
      <c r="A40" s="169">
        <v>0</v>
      </c>
      <c r="B40" s="206">
        <v>2020</v>
      </c>
      <c r="C40" s="459">
        <f t="shared" si="2"/>
        <v>0</v>
      </c>
      <c r="D40" s="351">
        <f>Inputs!$B$39</f>
        <v>28.6</v>
      </c>
      <c r="E40" s="460">
        <f t="shared" si="1"/>
        <v>0</v>
      </c>
      <c r="F40" s="460">
        <f t="shared" si="1"/>
        <v>0</v>
      </c>
      <c r="G40" s="461">
        <f t="shared" si="1"/>
        <v>0</v>
      </c>
    </row>
    <row r="41" spans="1:7" ht="12.75">
      <c r="A41" s="169">
        <v>1</v>
      </c>
      <c r="B41" s="206">
        <v>2021</v>
      </c>
      <c r="C41" s="462">
        <f t="shared" si="2"/>
        <v>41000</v>
      </c>
      <c r="D41" s="351">
        <f>Inputs!$B$39</f>
        <v>28.6</v>
      </c>
      <c r="E41" s="463">
        <f t="shared" si="1"/>
        <v>1179000</v>
      </c>
      <c r="F41" s="460">
        <f t="shared" si="1"/>
        <v>1079000</v>
      </c>
      <c r="G41" s="464">
        <f t="shared" si="1"/>
        <v>962000</v>
      </c>
    </row>
    <row r="42" spans="1:7" ht="12.75">
      <c r="A42" s="169">
        <v>2</v>
      </c>
      <c r="B42" s="206">
        <v>2022</v>
      </c>
      <c r="C42" s="462">
        <f t="shared" si="2"/>
        <v>46000</v>
      </c>
      <c r="D42" s="351">
        <f>Inputs!$B$39</f>
        <v>28.6</v>
      </c>
      <c r="E42" s="234">
        <f t="shared" si="1"/>
        <v>1319000</v>
      </c>
      <c r="F42" s="460">
        <f t="shared" si="1"/>
        <v>1172000</v>
      </c>
      <c r="G42" s="236">
        <f t="shared" si="1"/>
        <v>1006000</v>
      </c>
    </row>
    <row r="43" spans="1:7" ht="12.75">
      <c r="A43" s="169">
        <v>3</v>
      </c>
      <c r="B43" s="206">
        <v>2023</v>
      </c>
      <c r="C43" s="462">
        <f t="shared" si="2"/>
        <v>51000</v>
      </c>
      <c r="D43" s="351">
        <f>Inputs!$B$39</f>
        <v>28.6</v>
      </c>
      <c r="E43" s="234">
        <f t="shared" si="1"/>
        <v>1458000</v>
      </c>
      <c r="F43" s="460">
        <f t="shared" si="1"/>
        <v>1258000</v>
      </c>
      <c r="G43" s="236">
        <f t="shared" si="1"/>
        <v>1040000</v>
      </c>
    </row>
    <row r="44" spans="1:7" ht="12.75">
      <c r="A44" s="169">
        <v>4</v>
      </c>
      <c r="B44" s="206">
        <v>2024</v>
      </c>
      <c r="C44" s="462">
        <f t="shared" si="2"/>
        <v>56000</v>
      </c>
      <c r="D44" s="351">
        <f>Inputs!$B$39</f>
        <v>28.6</v>
      </c>
      <c r="E44" s="234">
        <f t="shared" si="1"/>
        <v>1598000</v>
      </c>
      <c r="F44" s="460">
        <f t="shared" si="1"/>
        <v>1338000</v>
      </c>
      <c r="G44" s="236">
        <f t="shared" si="1"/>
        <v>1065000</v>
      </c>
    </row>
    <row r="45" spans="1:7" ht="12.75">
      <c r="A45" s="169">
        <v>5</v>
      </c>
      <c r="B45" s="206">
        <v>2025</v>
      </c>
      <c r="C45" s="462">
        <f t="shared" si="2"/>
        <v>61000</v>
      </c>
      <c r="D45" s="351">
        <f>Inputs!$B$39</f>
        <v>28.6</v>
      </c>
      <c r="E45" s="234">
        <f t="shared" si="1"/>
        <v>1738000</v>
      </c>
      <c r="F45" s="460">
        <f t="shared" si="1"/>
        <v>1413000</v>
      </c>
      <c r="G45" s="236">
        <f t="shared" si="1"/>
        <v>1082000</v>
      </c>
    </row>
    <row r="46" spans="1:7" ht="12.75">
      <c r="A46" s="169">
        <v>6</v>
      </c>
      <c r="B46" s="206">
        <v>2026</v>
      </c>
      <c r="C46" s="462">
        <f t="shared" si="2"/>
        <v>61000</v>
      </c>
      <c r="D46" s="351">
        <f>Inputs!$B$39</f>
        <v>28.6</v>
      </c>
      <c r="E46" s="234">
        <f t="shared" si="1"/>
        <v>1738000</v>
      </c>
      <c r="F46" s="460">
        <f t="shared" si="1"/>
        <v>1372000</v>
      </c>
      <c r="G46" s="236">
        <f t="shared" si="1"/>
        <v>1011000</v>
      </c>
    </row>
    <row r="47" spans="1:7" ht="12.75">
      <c r="A47" s="169">
        <v>7</v>
      </c>
      <c r="B47" s="206">
        <v>2027</v>
      </c>
      <c r="C47" s="462">
        <f t="shared" si="2"/>
        <v>35000</v>
      </c>
      <c r="D47" s="351">
        <f>Inputs!$B$39</f>
        <v>28.6</v>
      </c>
      <c r="E47" s="234">
        <f t="shared" si="1"/>
        <v>993000</v>
      </c>
      <c r="F47" s="460">
        <f t="shared" si="1"/>
        <v>761000</v>
      </c>
      <c r="G47" s="236">
        <f t="shared" si="1"/>
        <v>540000</v>
      </c>
    </row>
    <row r="48" spans="1:7" ht="12.75">
      <c r="A48" s="169">
        <v>8</v>
      </c>
      <c r="B48" s="206">
        <v>2028</v>
      </c>
      <c r="C48" s="462">
        <f t="shared" si="2"/>
        <v>35000</v>
      </c>
      <c r="D48" s="351">
        <f>Inputs!$B$39</f>
        <v>28.6</v>
      </c>
      <c r="E48" s="234">
        <f t="shared" si="1"/>
        <v>993000</v>
      </c>
      <c r="F48" s="460">
        <f t="shared" si="1"/>
        <v>739000</v>
      </c>
      <c r="G48" s="236">
        <f t="shared" si="1"/>
        <v>505000</v>
      </c>
    </row>
    <row r="49" spans="1:7" ht="12.75">
      <c r="A49" s="169">
        <v>9</v>
      </c>
      <c r="B49" s="206">
        <v>2029</v>
      </c>
      <c r="C49" s="462">
        <f t="shared" si="2"/>
        <v>35000</v>
      </c>
      <c r="D49" s="351">
        <f>Inputs!$B$39</f>
        <v>28.6</v>
      </c>
      <c r="E49" s="234">
        <f t="shared" si="1"/>
        <v>993000</v>
      </c>
      <c r="F49" s="460">
        <f t="shared" si="1"/>
        <v>717000</v>
      </c>
      <c r="G49" s="236">
        <f t="shared" si="1"/>
        <v>472000</v>
      </c>
    </row>
    <row r="50" spans="1:7" ht="12.75">
      <c r="A50" s="169">
        <v>10</v>
      </c>
      <c r="B50" s="206">
        <v>2030</v>
      </c>
      <c r="C50" s="462">
        <f t="shared" si="2"/>
        <v>35000</v>
      </c>
      <c r="D50" s="351">
        <f>Inputs!$B$39</f>
        <v>28.6</v>
      </c>
      <c r="E50" s="234">
        <f t="shared" si="1"/>
        <v>993000</v>
      </c>
      <c r="F50" s="460">
        <f t="shared" si="1"/>
        <v>696000</v>
      </c>
      <c r="G50" s="236">
        <f t="shared" si="1"/>
        <v>441000</v>
      </c>
    </row>
    <row r="51" spans="1:7" ht="12.75">
      <c r="A51" s="169">
        <v>11</v>
      </c>
      <c r="B51" s="206">
        <v>2031</v>
      </c>
      <c r="C51" s="462">
        <f t="shared" si="2"/>
        <v>35000</v>
      </c>
      <c r="D51" s="351">
        <f>Inputs!$B$39</f>
        <v>28.6</v>
      </c>
      <c r="E51" s="234">
        <f t="shared" si="1"/>
        <v>993000</v>
      </c>
      <c r="F51" s="460">
        <f t="shared" si="1"/>
        <v>676000</v>
      </c>
      <c r="G51" s="236">
        <f t="shared" si="1"/>
        <v>412000</v>
      </c>
    </row>
    <row r="52" spans="1:7" ht="12.75">
      <c r="A52" s="169">
        <v>12</v>
      </c>
      <c r="B52" s="206">
        <v>2032</v>
      </c>
      <c r="C52" s="462">
        <f t="shared" si="2"/>
        <v>35000</v>
      </c>
      <c r="D52" s="351">
        <f>Inputs!$B$39</f>
        <v>28.6</v>
      </c>
      <c r="E52" s="234">
        <f t="shared" si="1"/>
        <v>993000</v>
      </c>
      <c r="F52" s="460">
        <f t="shared" si="1"/>
        <v>656000</v>
      </c>
      <c r="G52" s="236">
        <f t="shared" si="1"/>
        <v>385000</v>
      </c>
    </row>
    <row r="53" spans="1:7" ht="12.75">
      <c r="A53" s="169">
        <v>13</v>
      </c>
      <c r="B53" s="206">
        <v>2033</v>
      </c>
      <c r="C53" s="462">
        <f t="shared" si="2"/>
        <v>35000</v>
      </c>
      <c r="D53" s="351">
        <f>Inputs!$B$39</f>
        <v>28.6</v>
      </c>
      <c r="E53" s="234">
        <f t="shared" si="1"/>
        <v>993000</v>
      </c>
      <c r="F53" s="460">
        <f t="shared" si="1"/>
        <v>637000</v>
      </c>
      <c r="G53" s="236">
        <f t="shared" si="1"/>
        <v>360000</v>
      </c>
    </row>
    <row r="54" spans="1:7" ht="12.75">
      <c r="A54" s="169">
        <v>14</v>
      </c>
      <c r="B54" s="206">
        <v>2034</v>
      </c>
      <c r="C54" s="462">
        <f t="shared" si="2"/>
        <v>35000</v>
      </c>
      <c r="D54" s="351">
        <f>Inputs!$B$39</f>
        <v>28.6</v>
      </c>
      <c r="E54" s="234">
        <f t="shared" si="1"/>
        <v>993000</v>
      </c>
      <c r="F54" s="460">
        <f t="shared" si="1"/>
        <v>619000</v>
      </c>
      <c r="G54" s="236">
        <f t="shared" si="1"/>
        <v>336000</v>
      </c>
    </row>
    <row r="55" spans="1:7" ht="12.75">
      <c r="A55" s="169">
        <v>15</v>
      </c>
      <c r="B55" s="206">
        <v>2035</v>
      </c>
      <c r="C55" s="462">
        <f t="shared" si="2"/>
        <v>35000</v>
      </c>
      <c r="D55" s="351">
        <f>Inputs!$B$39</f>
        <v>28.6</v>
      </c>
      <c r="E55" s="234">
        <f t="shared" si="1"/>
        <v>993000</v>
      </c>
      <c r="F55" s="460">
        <f t="shared" si="1"/>
        <v>601000</v>
      </c>
      <c r="G55" s="236">
        <f t="shared" si="1"/>
        <v>314000</v>
      </c>
    </row>
    <row r="56" spans="1:7" ht="12.75">
      <c r="A56" s="169">
        <v>16</v>
      </c>
      <c r="B56" s="206">
        <v>2036</v>
      </c>
      <c r="C56" s="462">
        <f t="shared" si="2"/>
        <v>35000</v>
      </c>
      <c r="D56" s="351">
        <f>Inputs!$B$39</f>
        <v>28.6</v>
      </c>
      <c r="E56" s="234">
        <f t="shared" si="1"/>
        <v>993000</v>
      </c>
      <c r="F56" s="460">
        <f t="shared" si="1"/>
        <v>583000</v>
      </c>
      <c r="G56" s="236">
        <f t="shared" si="1"/>
        <v>294000</v>
      </c>
    </row>
    <row r="57" spans="1:7" ht="12.75">
      <c r="A57" s="169">
        <v>17</v>
      </c>
      <c r="B57" s="206">
        <v>2037</v>
      </c>
      <c r="C57" s="462">
        <f t="shared" si="2"/>
        <v>35000</v>
      </c>
      <c r="D57" s="351">
        <f>Inputs!$B$39</f>
        <v>28.6</v>
      </c>
      <c r="E57" s="234">
        <f t="shared" si="1"/>
        <v>993000</v>
      </c>
      <c r="F57" s="460">
        <f t="shared" si="1"/>
        <v>566000</v>
      </c>
      <c r="G57" s="236">
        <f t="shared" si="1"/>
        <v>275000</v>
      </c>
    </row>
    <row r="58" spans="1:7" ht="12.75">
      <c r="A58" s="169">
        <v>18</v>
      </c>
      <c r="B58" s="206">
        <v>2038</v>
      </c>
      <c r="C58" s="462">
        <f t="shared" si="2"/>
        <v>35000</v>
      </c>
      <c r="D58" s="351">
        <f>Inputs!$B$39</f>
        <v>28.6</v>
      </c>
      <c r="E58" s="234">
        <f aca="true" t="shared" si="3" ref="E58:G71">ROUND(E22,-3)</f>
        <v>993000</v>
      </c>
      <c r="F58" s="460">
        <f t="shared" si="3"/>
        <v>550000</v>
      </c>
      <c r="G58" s="236">
        <f t="shared" si="3"/>
        <v>257000</v>
      </c>
    </row>
    <row r="59" spans="1:7" ht="12.75">
      <c r="A59" s="169">
        <v>19</v>
      </c>
      <c r="B59" s="206">
        <v>2039</v>
      </c>
      <c r="C59" s="462">
        <f t="shared" si="2"/>
        <v>35000</v>
      </c>
      <c r="D59" s="351">
        <f>Inputs!$B$39</f>
        <v>28.6</v>
      </c>
      <c r="E59" s="234">
        <f t="shared" si="3"/>
        <v>993000</v>
      </c>
      <c r="F59" s="460">
        <f t="shared" si="3"/>
        <v>534000</v>
      </c>
      <c r="G59" s="236">
        <f t="shared" si="3"/>
        <v>240000</v>
      </c>
    </row>
    <row r="60" spans="1:7" ht="12.75">
      <c r="A60" s="169">
        <v>20</v>
      </c>
      <c r="B60" s="206">
        <v>2040</v>
      </c>
      <c r="C60" s="462">
        <f t="shared" si="2"/>
        <v>35000</v>
      </c>
      <c r="D60" s="351">
        <f>Inputs!$B$39</f>
        <v>28.6</v>
      </c>
      <c r="E60" s="234">
        <f t="shared" si="3"/>
        <v>993000</v>
      </c>
      <c r="F60" s="460">
        <f t="shared" si="3"/>
        <v>518000</v>
      </c>
      <c r="G60" s="236">
        <f t="shared" si="3"/>
        <v>224000</v>
      </c>
    </row>
    <row r="61" spans="1:7" ht="12.75">
      <c r="A61" s="169">
        <v>21</v>
      </c>
      <c r="B61" s="206">
        <v>2041</v>
      </c>
      <c r="C61" s="462">
        <f t="shared" si="2"/>
        <v>35000</v>
      </c>
      <c r="D61" s="351">
        <f>Inputs!$B$39</f>
        <v>28.6</v>
      </c>
      <c r="E61" s="234">
        <f t="shared" si="3"/>
        <v>993000</v>
      </c>
      <c r="F61" s="460">
        <f t="shared" si="3"/>
        <v>503000</v>
      </c>
      <c r="G61" s="236">
        <f t="shared" si="3"/>
        <v>209000</v>
      </c>
    </row>
    <row r="62" spans="1:7" ht="12.75">
      <c r="A62" s="169">
        <v>22</v>
      </c>
      <c r="B62" s="206">
        <v>2042</v>
      </c>
      <c r="C62" s="462">
        <f t="shared" si="2"/>
        <v>35000</v>
      </c>
      <c r="D62" s="351">
        <f>Inputs!$B$39</f>
        <v>28.6</v>
      </c>
      <c r="E62" s="234">
        <f t="shared" si="3"/>
        <v>993000</v>
      </c>
      <c r="F62" s="460">
        <f t="shared" si="3"/>
        <v>488000</v>
      </c>
      <c r="G62" s="236">
        <f t="shared" si="3"/>
        <v>196000</v>
      </c>
    </row>
    <row r="63" spans="1:7" ht="12.75">
      <c r="A63" s="169">
        <v>23</v>
      </c>
      <c r="B63" s="206">
        <v>2043</v>
      </c>
      <c r="C63" s="462">
        <f t="shared" si="2"/>
        <v>35000</v>
      </c>
      <c r="D63" s="351">
        <f>Inputs!$B$39</f>
        <v>28.6</v>
      </c>
      <c r="E63" s="234">
        <f t="shared" si="3"/>
        <v>993000</v>
      </c>
      <c r="F63" s="460">
        <f t="shared" si="3"/>
        <v>474000</v>
      </c>
      <c r="G63" s="236">
        <f t="shared" si="3"/>
        <v>183000</v>
      </c>
    </row>
    <row r="64" spans="1:7" ht="12.75">
      <c r="A64" s="169">
        <v>24</v>
      </c>
      <c r="B64" s="206">
        <v>2044</v>
      </c>
      <c r="C64" s="462">
        <f t="shared" si="2"/>
        <v>35000</v>
      </c>
      <c r="D64" s="351">
        <f>Inputs!$B$39</f>
        <v>28.6</v>
      </c>
      <c r="E64" s="234">
        <f t="shared" si="3"/>
        <v>993000</v>
      </c>
      <c r="F64" s="460">
        <f t="shared" si="3"/>
        <v>460000</v>
      </c>
      <c r="G64" s="236">
        <f t="shared" si="3"/>
        <v>171000</v>
      </c>
    </row>
    <row r="65" spans="1:7" ht="12.75">
      <c r="A65" s="169">
        <v>25</v>
      </c>
      <c r="B65" s="206">
        <v>2045</v>
      </c>
      <c r="C65" s="462">
        <f t="shared" si="2"/>
        <v>35000</v>
      </c>
      <c r="D65" s="351">
        <f>Inputs!$B$39</f>
        <v>28.6</v>
      </c>
      <c r="E65" s="234">
        <f t="shared" si="3"/>
        <v>993000</v>
      </c>
      <c r="F65" s="460">
        <f t="shared" si="3"/>
        <v>447000</v>
      </c>
      <c r="G65" s="236">
        <f t="shared" si="3"/>
        <v>160000</v>
      </c>
    </row>
    <row r="66" spans="1:7" ht="12.75">
      <c r="A66" s="169">
        <v>26</v>
      </c>
      <c r="B66" s="206">
        <v>2046</v>
      </c>
      <c r="C66" s="462">
        <f t="shared" si="2"/>
        <v>35000</v>
      </c>
      <c r="D66" s="351">
        <f>Inputs!$B$39</f>
        <v>28.6</v>
      </c>
      <c r="E66" s="234">
        <f t="shared" si="3"/>
        <v>993000</v>
      </c>
      <c r="F66" s="460">
        <f t="shared" si="3"/>
        <v>434000</v>
      </c>
      <c r="G66" s="236">
        <f t="shared" si="3"/>
        <v>149000</v>
      </c>
    </row>
    <row r="67" spans="1:7" ht="12.75">
      <c r="A67" s="169">
        <v>27</v>
      </c>
      <c r="B67" s="206">
        <v>2047</v>
      </c>
      <c r="C67" s="462">
        <f t="shared" si="2"/>
        <v>35000</v>
      </c>
      <c r="D67" s="351">
        <f>Inputs!$B$39</f>
        <v>28.6</v>
      </c>
      <c r="E67" s="234">
        <f t="shared" si="3"/>
        <v>993000</v>
      </c>
      <c r="F67" s="460">
        <f t="shared" si="3"/>
        <v>421000</v>
      </c>
      <c r="G67" s="236">
        <f t="shared" si="3"/>
        <v>140000</v>
      </c>
    </row>
    <row r="68" spans="1:7" ht="12.75">
      <c r="A68" s="169">
        <v>28</v>
      </c>
      <c r="B68" s="206">
        <v>2048</v>
      </c>
      <c r="C68" s="462">
        <f t="shared" si="2"/>
        <v>35000</v>
      </c>
      <c r="D68" s="351">
        <f>Inputs!$B$39</f>
        <v>28.6</v>
      </c>
      <c r="E68" s="234">
        <f t="shared" si="3"/>
        <v>993000</v>
      </c>
      <c r="F68" s="460">
        <f t="shared" si="3"/>
        <v>409000</v>
      </c>
      <c r="G68" s="236">
        <f t="shared" si="3"/>
        <v>130000</v>
      </c>
    </row>
    <row r="69" spans="1:7" ht="12.75">
      <c r="A69" s="169">
        <v>29</v>
      </c>
      <c r="B69" s="206">
        <v>2049</v>
      </c>
      <c r="C69" s="462">
        <f t="shared" si="2"/>
        <v>35000</v>
      </c>
      <c r="D69" s="351">
        <f>Inputs!$B$39</f>
        <v>28.6</v>
      </c>
      <c r="E69" s="234">
        <f t="shared" si="3"/>
        <v>993000</v>
      </c>
      <c r="F69" s="460">
        <f t="shared" si="3"/>
        <v>397000</v>
      </c>
      <c r="G69" s="236">
        <f t="shared" si="3"/>
        <v>122000</v>
      </c>
    </row>
    <row r="70" spans="1:7" ht="12.75">
      <c r="A70" s="469">
        <v>30</v>
      </c>
      <c r="B70" s="476">
        <v>2050</v>
      </c>
      <c r="C70" s="462">
        <f t="shared" si="2"/>
        <v>35000</v>
      </c>
      <c r="D70" s="351">
        <f>Inputs!$B$39</f>
        <v>28.6</v>
      </c>
      <c r="E70" s="234">
        <f t="shared" si="3"/>
        <v>993000</v>
      </c>
      <c r="F70" s="460">
        <f t="shared" si="3"/>
        <v>386000</v>
      </c>
      <c r="G70" s="236">
        <f t="shared" si="3"/>
        <v>114000</v>
      </c>
    </row>
    <row r="71" spans="1:7" ht="13.5" thickBot="1">
      <c r="A71" s="616" t="s">
        <v>0</v>
      </c>
      <c r="B71" s="645"/>
      <c r="C71" s="465">
        <f t="shared" si="2"/>
        <v>1149000</v>
      </c>
      <c r="D71" s="466"/>
      <c r="E71" s="352">
        <f t="shared" si="3"/>
        <v>32858000</v>
      </c>
      <c r="F71" s="352">
        <f t="shared" si="3"/>
        <v>20905000</v>
      </c>
      <c r="G71" s="353">
        <f t="shared" si="3"/>
        <v>12794000</v>
      </c>
    </row>
  </sheetData>
  <sheetProtection/>
  <mergeCells count="2">
    <mergeCell ref="A35:B35"/>
    <mergeCell ref="A71:B71"/>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K71"/>
  <sheetViews>
    <sheetView zoomScalePageLayoutView="0" workbookViewId="0" topLeftCell="C1">
      <selection activeCell="F15" sqref="F15"/>
    </sheetView>
  </sheetViews>
  <sheetFormatPr defaultColWidth="9.140625" defaultRowHeight="12.75"/>
  <cols>
    <col min="3" max="4" width="11.421875" style="0" customWidth="1"/>
    <col min="5" max="5" width="12.8515625" style="510" customWidth="1"/>
    <col min="6" max="7" width="13.57421875" style="510" customWidth="1"/>
    <col min="8" max="8" width="10.8515625" style="510" bestFit="1" customWidth="1"/>
    <col min="9" max="9" width="14.421875" style="510" bestFit="1" customWidth="1"/>
    <col min="10" max="11" width="13.421875" style="510" bestFit="1" customWidth="1"/>
    <col min="12" max="12" width="9.140625" style="510" customWidth="1"/>
  </cols>
  <sheetData>
    <row r="1" spans="1:11" ht="60">
      <c r="A1" s="156" t="s">
        <v>64</v>
      </c>
      <c r="B1" s="157" t="s">
        <v>1</v>
      </c>
      <c r="C1" s="157" t="s">
        <v>85</v>
      </c>
      <c r="D1" s="221" t="s">
        <v>498</v>
      </c>
      <c r="E1" s="222" t="s">
        <v>414</v>
      </c>
      <c r="F1" s="512" t="s">
        <v>489</v>
      </c>
      <c r="G1" s="512" t="s">
        <v>497</v>
      </c>
      <c r="H1" s="512" t="s">
        <v>499</v>
      </c>
      <c r="I1" s="512" t="s">
        <v>500</v>
      </c>
      <c r="J1" s="222" t="s">
        <v>415</v>
      </c>
      <c r="K1" s="223" t="s">
        <v>416</v>
      </c>
    </row>
    <row r="2" spans="1:11" ht="12.75">
      <c r="A2" s="169">
        <v>-2</v>
      </c>
      <c r="B2" s="170">
        <v>2018</v>
      </c>
      <c r="C2" s="171">
        <f>'Avoided Truck Miles'!Y3</f>
        <v>0</v>
      </c>
      <c r="D2" s="224">
        <f>Inputs!$B$36</f>
        <v>0.9</v>
      </c>
      <c r="E2" s="225">
        <f>C2*D2</f>
        <v>0</v>
      </c>
      <c r="F2" s="511">
        <f>'Avoided Truck Miles'!AA3</f>
        <v>0</v>
      </c>
      <c r="G2" s="513">
        <f>Inputs!$B$37</f>
        <v>3.6</v>
      </c>
      <c r="H2" s="511">
        <f>F2*G2</f>
        <v>0</v>
      </c>
      <c r="I2" s="511">
        <f>E2-H2</f>
        <v>0</v>
      </c>
      <c r="J2" s="225">
        <f>I2/((1+Inputs!$B$6)^(B2-Inputs!$B$10))</f>
        <v>0</v>
      </c>
      <c r="K2" s="226">
        <f>I2/((1+Inputs!$B$5)^(B2-Inputs!$B$10))</f>
        <v>0</v>
      </c>
    </row>
    <row r="3" spans="1:11" ht="12.75">
      <c r="A3" s="169">
        <v>-1</v>
      </c>
      <c r="B3" s="170">
        <v>2019</v>
      </c>
      <c r="C3" s="171">
        <f>'Avoided Truck Miles'!Y4</f>
        <v>0</v>
      </c>
      <c r="D3" s="224">
        <f>Inputs!$B$36</f>
        <v>0.9</v>
      </c>
      <c r="E3" s="225">
        <f aca="true" t="shared" si="0" ref="E3:E32">C3*D3</f>
        <v>0</v>
      </c>
      <c r="F3" s="511">
        <f>'Avoided Truck Miles'!AA4</f>
        <v>0</v>
      </c>
      <c r="G3" s="513">
        <f>Inputs!$B$37</f>
        <v>3.6</v>
      </c>
      <c r="H3" s="511">
        <f aca="true" t="shared" si="1" ref="H3:H34">F3*G3</f>
        <v>0</v>
      </c>
      <c r="I3" s="511">
        <f aca="true" t="shared" si="2" ref="I3:I34">E3-H3</f>
        <v>0</v>
      </c>
      <c r="J3" s="225">
        <f>I3/((1+Inputs!$B$6)^(B3-Inputs!$B$10))</f>
        <v>0</v>
      </c>
      <c r="K3" s="226">
        <f>I3/((1+Inputs!$B$5)^(B3-Inputs!$B$10))</f>
        <v>0</v>
      </c>
    </row>
    <row r="4" spans="1:11" ht="12.75">
      <c r="A4" s="169">
        <v>0</v>
      </c>
      <c r="B4" s="170">
        <v>2020</v>
      </c>
      <c r="C4" s="171">
        <f>'Avoided Truck Miles'!Y5</f>
        <v>0</v>
      </c>
      <c r="D4" s="224">
        <f>Inputs!$B$36</f>
        <v>0.9</v>
      </c>
      <c r="E4" s="225">
        <f>C4*D4</f>
        <v>0</v>
      </c>
      <c r="F4" s="511">
        <f>'Avoided Truck Miles'!AA5</f>
        <v>0</v>
      </c>
      <c r="G4" s="513">
        <f>Inputs!$B$37</f>
        <v>3.6</v>
      </c>
      <c r="H4" s="511">
        <f t="shared" si="1"/>
        <v>0</v>
      </c>
      <c r="I4" s="511">
        <f t="shared" si="2"/>
        <v>0</v>
      </c>
      <c r="J4" s="225">
        <f>I4/((1+Inputs!$B$6)^(B4-Inputs!$B$10))</f>
        <v>0</v>
      </c>
      <c r="K4" s="226">
        <f>I4/((1+Inputs!$B$5)^(B4-Inputs!$B$10))</f>
        <v>0</v>
      </c>
    </row>
    <row r="5" spans="1:11" ht="12.75">
      <c r="A5" s="169">
        <v>1</v>
      </c>
      <c r="B5" s="170">
        <v>2021</v>
      </c>
      <c r="C5" s="171">
        <f>'Avoided Truck Miles'!Y6</f>
        <v>3773146.3483552905</v>
      </c>
      <c r="D5" s="224">
        <f>Inputs!$B$36</f>
        <v>0.9</v>
      </c>
      <c r="E5" s="225">
        <f t="shared" si="0"/>
        <v>3395831.7135197613</v>
      </c>
      <c r="F5" s="511">
        <f>'Avoided Truck Miles'!AA6</f>
        <v>7009.506797267927</v>
      </c>
      <c r="G5" s="513">
        <f>Inputs!$B$37</f>
        <v>3.6</v>
      </c>
      <c r="H5" s="511">
        <f t="shared" si="1"/>
        <v>25234.22447016454</v>
      </c>
      <c r="I5" s="511">
        <f t="shared" si="2"/>
        <v>3370597.4890495967</v>
      </c>
      <c r="J5" s="225">
        <f>I5/((1+Inputs!$B$6)^(B5-Inputs!$B$10))</f>
        <v>3084574.179140441</v>
      </c>
      <c r="K5" s="226">
        <f>I5/((1+Inputs!$B$5)^(B5-Inputs!$B$10))</f>
        <v>2751411.574164822</v>
      </c>
    </row>
    <row r="6" spans="1:11" ht="12.75">
      <c r="A6" s="169">
        <v>2</v>
      </c>
      <c r="B6" s="170">
        <v>2022</v>
      </c>
      <c r="C6" s="171">
        <f>'Avoided Truck Miles'!Y7</f>
        <v>3802208.8483552905</v>
      </c>
      <c r="D6" s="224">
        <f>Inputs!$B$36</f>
        <v>0.9</v>
      </c>
      <c r="E6" s="225">
        <f t="shared" si="0"/>
        <v>3421987.9635197613</v>
      </c>
      <c r="F6" s="511">
        <f>'Avoided Truck Miles'!AA7</f>
        <v>7009.506797267927</v>
      </c>
      <c r="G6" s="513">
        <f>Inputs!$B$37</f>
        <v>3.6</v>
      </c>
      <c r="H6" s="511">
        <f t="shared" si="1"/>
        <v>25234.22447016454</v>
      </c>
      <c r="I6" s="511">
        <f t="shared" si="2"/>
        <v>3396753.7390495967</v>
      </c>
      <c r="J6" s="225">
        <f>I6/((1+Inputs!$B$6)^(B6-Inputs!$B$10))</f>
        <v>3017971.7021047547</v>
      </c>
      <c r="K6" s="226">
        <f>I6/((1+Inputs!$B$5)^(B6-Inputs!$B$10))</f>
        <v>2591367.1640254664</v>
      </c>
    </row>
    <row r="7" spans="1:11" ht="12.75">
      <c r="A7" s="169">
        <v>3</v>
      </c>
      <c r="B7" s="170">
        <v>2023</v>
      </c>
      <c r="C7" s="171">
        <f>'Avoided Truck Miles'!Y8</f>
        <v>3831271.3483552905</v>
      </c>
      <c r="D7" s="224">
        <f>Inputs!$B$36</f>
        <v>0.9</v>
      </c>
      <c r="E7" s="225">
        <f t="shared" si="0"/>
        <v>3448144.2135197613</v>
      </c>
      <c r="F7" s="511">
        <f>'Avoided Truck Miles'!AA8</f>
        <v>7009.506797267927</v>
      </c>
      <c r="G7" s="513">
        <f>Inputs!$B$37</f>
        <v>3.6</v>
      </c>
      <c r="H7" s="511">
        <f t="shared" si="1"/>
        <v>25234.22447016454</v>
      </c>
      <c r="I7" s="511">
        <f t="shared" si="2"/>
        <v>3422909.9890495967</v>
      </c>
      <c r="J7" s="225">
        <f>I7/((1+Inputs!$B$6)^(B7-Inputs!$B$10))</f>
        <v>2952632.224710485</v>
      </c>
      <c r="K7" s="226">
        <f>I7/((1+Inputs!$B$5)^(B7-Inputs!$B$10))</f>
        <v>2440487.515808957</v>
      </c>
    </row>
    <row r="8" spans="1:11" ht="12.75">
      <c r="A8" s="169">
        <v>4</v>
      </c>
      <c r="B8" s="170">
        <v>2024</v>
      </c>
      <c r="C8" s="171">
        <f>'Avoided Truck Miles'!Y9</f>
        <v>3860333.8483552905</v>
      </c>
      <c r="D8" s="224">
        <f>Inputs!$B$36</f>
        <v>0.9</v>
      </c>
      <c r="E8" s="225">
        <f t="shared" si="0"/>
        <v>3474300.4635197613</v>
      </c>
      <c r="F8" s="511">
        <f>'Avoided Truck Miles'!AA9</f>
        <v>7009.506797267927</v>
      </c>
      <c r="G8" s="513">
        <f>Inputs!$B$37</f>
        <v>3.6</v>
      </c>
      <c r="H8" s="511">
        <f t="shared" si="1"/>
        <v>25234.22447016454</v>
      </c>
      <c r="I8" s="511">
        <f t="shared" si="2"/>
        <v>3449066.2390495967</v>
      </c>
      <c r="J8" s="225">
        <f>I8/((1+Inputs!$B$6)^(B8-Inputs!$B$10))</f>
        <v>2888538.675463139</v>
      </c>
      <c r="K8" s="226">
        <f>I8/((1+Inputs!$B$5)^(B8-Inputs!$B$10))</f>
        <v>2298258.4678187636</v>
      </c>
    </row>
    <row r="9" spans="1:11" ht="12.75">
      <c r="A9" s="169">
        <v>5</v>
      </c>
      <c r="B9" s="170">
        <v>2025</v>
      </c>
      <c r="C9" s="171">
        <f>'Avoided Truck Miles'!Y10</f>
        <v>3889396.3483552905</v>
      </c>
      <c r="D9" s="224">
        <f>Inputs!$B$36</f>
        <v>0.9</v>
      </c>
      <c r="E9" s="225">
        <f t="shared" si="0"/>
        <v>3500456.7135197613</v>
      </c>
      <c r="F9" s="511">
        <f>'Avoided Truck Miles'!AA10</f>
        <v>7009.506797267927</v>
      </c>
      <c r="G9" s="513">
        <f>Inputs!$B$37</f>
        <v>3.6</v>
      </c>
      <c r="H9" s="511">
        <f t="shared" si="1"/>
        <v>25234.22447016454</v>
      </c>
      <c r="I9" s="511">
        <f t="shared" si="2"/>
        <v>3475222.4890495967</v>
      </c>
      <c r="J9" s="225">
        <f>I9/((1+Inputs!$B$6)^(B9-Inputs!$B$10))</f>
        <v>2825673.905875748</v>
      </c>
      <c r="K9" s="226">
        <f>I9/((1+Inputs!$B$5)^(B9-Inputs!$B$10))</f>
        <v>2164193.9080471625</v>
      </c>
    </row>
    <row r="10" spans="1:11" ht="12.75">
      <c r="A10" s="169">
        <v>6</v>
      </c>
      <c r="B10" s="170">
        <v>2026</v>
      </c>
      <c r="C10" s="171">
        <f>'Avoided Truck Miles'!Y11</f>
        <v>3889396.3483552905</v>
      </c>
      <c r="D10" s="224">
        <f>Inputs!$B$36</f>
        <v>0.9</v>
      </c>
      <c r="E10" s="225">
        <f t="shared" si="0"/>
        <v>3500456.7135197613</v>
      </c>
      <c r="F10" s="511">
        <f>'Avoided Truck Miles'!AA11</f>
        <v>7009.506797267927</v>
      </c>
      <c r="G10" s="513">
        <f>Inputs!$B$37</f>
        <v>3.6</v>
      </c>
      <c r="H10" s="511">
        <f t="shared" si="1"/>
        <v>25234.22447016454</v>
      </c>
      <c r="I10" s="511">
        <f t="shared" si="2"/>
        <v>3475222.4890495967</v>
      </c>
      <c r="J10" s="225">
        <f>I10/((1+Inputs!$B$6)^(B10-Inputs!$B$10))</f>
        <v>2743372.7241512123</v>
      </c>
      <c r="K10" s="226">
        <f>I10/((1+Inputs!$B$5)^(B10-Inputs!$B$10))</f>
        <v>2022611.12901604</v>
      </c>
    </row>
    <row r="11" spans="1:11" ht="12.75">
      <c r="A11" s="169">
        <v>7</v>
      </c>
      <c r="B11" s="170">
        <v>2027</v>
      </c>
      <c r="C11" s="171">
        <f>'Avoided Truck Miles'!Y12</f>
        <v>3734396.3483552905</v>
      </c>
      <c r="D11" s="224">
        <f>Inputs!$B$36</f>
        <v>0.9</v>
      </c>
      <c r="E11" s="225">
        <f t="shared" si="0"/>
        <v>3360956.7135197613</v>
      </c>
      <c r="F11" s="511">
        <f>'Avoided Truck Miles'!AA12</f>
        <v>7009.506797267927</v>
      </c>
      <c r="G11" s="513">
        <f>Inputs!$B$37</f>
        <v>3.6</v>
      </c>
      <c r="H11" s="511">
        <f t="shared" si="1"/>
        <v>25234.22447016454</v>
      </c>
      <c r="I11" s="511">
        <f t="shared" si="2"/>
        <v>3335722.4890495967</v>
      </c>
      <c r="J11" s="225">
        <f>I11/((1+Inputs!$B$6)^(B11-Inputs!$B$10))</f>
        <v>2556553.530062542</v>
      </c>
      <c r="K11" s="226">
        <f>I11/((1+Inputs!$B$5)^(B11-Inputs!$B$10))</f>
        <v>1814412.0176908567</v>
      </c>
    </row>
    <row r="12" spans="1:11" ht="12.75">
      <c r="A12" s="169">
        <v>8</v>
      </c>
      <c r="B12" s="170">
        <v>2028</v>
      </c>
      <c r="C12" s="171">
        <f>'Avoided Truck Miles'!Y13</f>
        <v>3734396.3483552905</v>
      </c>
      <c r="D12" s="224">
        <f>Inputs!$B$36</f>
        <v>0.9</v>
      </c>
      <c r="E12" s="225">
        <f t="shared" si="0"/>
        <v>3360956.7135197613</v>
      </c>
      <c r="F12" s="511">
        <f>'Avoided Truck Miles'!AA13</f>
        <v>7009.506797267927</v>
      </c>
      <c r="G12" s="513">
        <f>Inputs!$B$37</f>
        <v>3.6</v>
      </c>
      <c r="H12" s="511">
        <f t="shared" si="1"/>
        <v>25234.22447016454</v>
      </c>
      <c r="I12" s="511">
        <f t="shared" si="2"/>
        <v>3335722.4890495967</v>
      </c>
      <c r="J12" s="225">
        <f>I12/((1+Inputs!$B$6)^(B12-Inputs!$B$10))</f>
        <v>2482090.805885963</v>
      </c>
      <c r="K12" s="226">
        <f>I12/((1+Inputs!$B$5)^(B12-Inputs!$B$10))</f>
        <v>1695712.1660662214</v>
      </c>
    </row>
    <row r="13" spans="1:11" ht="12.75">
      <c r="A13" s="169">
        <v>9</v>
      </c>
      <c r="B13" s="170">
        <v>2029</v>
      </c>
      <c r="C13" s="171">
        <f>'Avoided Truck Miles'!Y14</f>
        <v>3734396.3483552905</v>
      </c>
      <c r="D13" s="224">
        <f>Inputs!$B$36</f>
        <v>0.9</v>
      </c>
      <c r="E13" s="225">
        <f t="shared" si="0"/>
        <v>3360956.7135197613</v>
      </c>
      <c r="F13" s="511">
        <f>'Avoided Truck Miles'!AA14</f>
        <v>7009.506797267927</v>
      </c>
      <c r="G13" s="513">
        <f>Inputs!$B$37</f>
        <v>3.6</v>
      </c>
      <c r="H13" s="511">
        <f t="shared" si="1"/>
        <v>25234.22447016454</v>
      </c>
      <c r="I13" s="511">
        <f t="shared" si="2"/>
        <v>3335722.4890495967</v>
      </c>
      <c r="J13" s="225">
        <f>I13/((1+Inputs!$B$6)^(B13-Inputs!$B$10))</f>
        <v>2409796.8989184108</v>
      </c>
      <c r="K13" s="226">
        <f>I13/((1+Inputs!$B$5)^(B13-Inputs!$B$10))</f>
        <v>1584777.725295534</v>
      </c>
    </row>
    <row r="14" spans="1:11" ht="12.75">
      <c r="A14" s="169">
        <v>10</v>
      </c>
      <c r="B14" s="170">
        <v>2030</v>
      </c>
      <c r="C14" s="171">
        <f>'Avoided Truck Miles'!Y15</f>
        <v>3734396.3483552905</v>
      </c>
      <c r="D14" s="224">
        <f>Inputs!$B$36</f>
        <v>0.9</v>
      </c>
      <c r="E14" s="225">
        <f t="shared" si="0"/>
        <v>3360956.7135197613</v>
      </c>
      <c r="F14" s="511">
        <f>'Avoided Truck Miles'!AA15</f>
        <v>7009.506797267927</v>
      </c>
      <c r="G14" s="513">
        <f>Inputs!$B$37</f>
        <v>3.6</v>
      </c>
      <c r="H14" s="511">
        <f t="shared" si="1"/>
        <v>25234.22447016454</v>
      </c>
      <c r="I14" s="511">
        <f t="shared" si="2"/>
        <v>3335722.4890495967</v>
      </c>
      <c r="J14" s="225">
        <f>I14/((1+Inputs!$B$6)^(B14-Inputs!$B$10))</f>
        <v>2339608.6397266127</v>
      </c>
      <c r="K14" s="226">
        <f>I14/((1+Inputs!$B$5)^(B14-Inputs!$B$10))</f>
        <v>1481100.6778462937</v>
      </c>
    </row>
    <row r="15" spans="1:11" ht="12.75">
      <c r="A15" s="169">
        <v>11</v>
      </c>
      <c r="B15" s="170">
        <v>2031</v>
      </c>
      <c r="C15" s="171">
        <f>'Avoided Truck Miles'!Y16</f>
        <v>3734396.3483552905</v>
      </c>
      <c r="D15" s="224">
        <f>Inputs!$B$36</f>
        <v>0.9</v>
      </c>
      <c r="E15" s="225">
        <f t="shared" si="0"/>
        <v>3360956.7135197613</v>
      </c>
      <c r="F15" s="511">
        <f>'Avoided Truck Miles'!AA16</f>
        <v>7009.506797267927</v>
      </c>
      <c r="G15" s="513">
        <f>Inputs!$B$37</f>
        <v>3.6</v>
      </c>
      <c r="H15" s="511">
        <f t="shared" si="1"/>
        <v>25234.22447016454</v>
      </c>
      <c r="I15" s="511">
        <f t="shared" si="2"/>
        <v>3335722.4890495967</v>
      </c>
      <c r="J15" s="225">
        <f>I15/((1+Inputs!$B$6)^(B15-Inputs!$B$10))</f>
        <v>2271464.6987637016</v>
      </c>
      <c r="K15" s="226">
        <f>I15/((1+Inputs!$B$5)^(B15-Inputs!$B$10))</f>
        <v>1384206.2409778445</v>
      </c>
    </row>
    <row r="16" spans="1:11" ht="12.75">
      <c r="A16" s="169">
        <v>12</v>
      </c>
      <c r="B16" s="170">
        <v>2032</v>
      </c>
      <c r="C16" s="171">
        <f>'Avoided Truck Miles'!Y17</f>
        <v>3734396.3483552905</v>
      </c>
      <c r="D16" s="224">
        <f>Inputs!$B$36</f>
        <v>0.9</v>
      </c>
      <c r="E16" s="225">
        <f t="shared" si="0"/>
        <v>3360956.7135197613</v>
      </c>
      <c r="F16" s="511">
        <f>'Avoided Truck Miles'!AA17</f>
        <v>7009.506797267927</v>
      </c>
      <c r="G16" s="513">
        <f>Inputs!$B$37</f>
        <v>3.6</v>
      </c>
      <c r="H16" s="511">
        <f t="shared" si="1"/>
        <v>25234.22447016454</v>
      </c>
      <c r="I16" s="511">
        <f t="shared" si="2"/>
        <v>3335722.4890495967</v>
      </c>
      <c r="J16" s="225">
        <f>I16/((1+Inputs!$B$6)^(B16-Inputs!$B$10))</f>
        <v>2205305.5327802924</v>
      </c>
      <c r="K16" s="226">
        <f>I16/((1+Inputs!$B$5)^(B16-Inputs!$B$10))</f>
        <v>1293650.6925026583</v>
      </c>
    </row>
    <row r="17" spans="1:11" ht="12.75">
      <c r="A17" s="169">
        <v>13</v>
      </c>
      <c r="B17" s="170">
        <v>2033</v>
      </c>
      <c r="C17" s="171">
        <f>'Avoided Truck Miles'!Y18</f>
        <v>3734396.3483552905</v>
      </c>
      <c r="D17" s="224">
        <f>Inputs!$B$36</f>
        <v>0.9</v>
      </c>
      <c r="E17" s="225">
        <f t="shared" si="0"/>
        <v>3360956.7135197613</v>
      </c>
      <c r="F17" s="511">
        <f>'Avoided Truck Miles'!AA18</f>
        <v>7009.506797267927</v>
      </c>
      <c r="G17" s="513">
        <f>Inputs!$B$37</f>
        <v>3.6</v>
      </c>
      <c r="H17" s="511">
        <f t="shared" si="1"/>
        <v>25234.22447016454</v>
      </c>
      <c r="I17" s="511">
        <f t="shared" si="2"/>
        <v>3335722.4890495967</v>
      </c>
      <c r="J17" s="225">
        <f>I17/((1+Inputs!$B$6)^(B17-Inputs!$B$10))</f>
        <v>2141073.3327964004</v>
      </c>
      <c r="K17" s="226">
        <f>I17/((1+Inputs!$B$5)^(B17-Inputs!$B$10))</f>
        <v>1209019.338787531</v>
      </c>
    </row>
    <row r="18" spans="1:11" ht="12.75">
      <c r="A18" s="169">
        <v>14</v>
      </c>
      <c r="B18" s="170">
        <v>2034</v>
      </c>
      <c r="C18" s="171">
        <f>'Avoided Truck Miles'!Y19</f>
        <v>3734396.3483552905</v>
      </c>
      <c r="D18" s="224">
        <f>Inputs!$B$36</f>
        <v>0.9</v>
      </c>
      <c r="E18" s="225">
        <f t="shared" si="0"/>
        <v>3360956.7135197613</v>
      </c>
      <c r="F18" s="511">
        <f>'Avoided Truck Miles'!AA19</f>
        <v>7009.506797267927</v>
      </c>
      <c r="G18" s="513">
        <f>Inputs!$B$37</f>
        <v>3.6</v>
      </c>
      <c r="H18" s="511">
        <f t="shared" si="1"/>
        <v>25234.22447016454</v>
      </c>
      <c r="I18" s="511">
        <f t="shared" si="2"/>
        <v>3335722.4890495967</v>
      </c>
      <c r="J18" s="225">
        <f>I18/((1+Inputs!$B$6)^(B18-Inputs!$B$10))</f>
        <v>2078711.9735887386</v>
      </c>
      <c r="K18" s="226">
        <f>I18/((1+Inputs!$B$5)^(B18-Inputs!$B$10))</f>
        <v>1129924.6156892814</v>
      </c>
    </row>
    <row r="19" spans="1:11" ht="12.75">
      <c r="A19" s="169">
        <v>15</v>
      </c>
      <c r="B19" s="170">
        <v>2035</v>
      </c>
      <c r="C19" s="171">
        <f>'Avoided Truck Miles'!Y20</f>
        <v>3734396.3483552905</v>
      </c>
      <c r="D19" s="224">
        <f>Inputs!$B$36</f>
        <v>0.9</v>
      </c>
      <c r="E19" s="225">
        <f t="shared" si="0"/>
        <v>3360956.7135197613</v>
      </c>
      <c r="F19" s="511">
        <f>'Avoided Truck Miles'!AA20</f>
        <v>7009.506797267927</v>
      </c>
      <c r="G19" s="513">
        <f>Inputs!$B$37</f>
        <v>3.6</v>
      </c>
      <c r="H19" s="511">
        <f t="shared" si="1"/>
        <v>25234.22447016454</v>
      </c>
      <c r="I19" s="511">
        <f t="shared" si="2"/>
        <v>3335722.4890495967</v>
      </c>
      <c r="J19" s="225">
        <f>I19/((1+Inputs!$B$6)^(B19-Inputs!$B$10))</f>
        <v>2018166.9646492607</v>
      </c>
      <c r="K19" s="226">
        <f>I19/((1+Inputs!$B$5)^(B19-Inputs!$B$10))</f>
        <v>1056004.3137283004</v>
      </c>
    </row>
    <row r="20" spans="1:11" ht="12.75">
      <c r="A20" s="169">
        <v>16</v>
      </c>
      <c r="B20" s="170">
        <v>2036</v>
      </c>
      <c r="C20" s="171">
        <f>'Avoided Truck Miles'!Y21</f>
        <v>3734396.3483552905</v>
      </c>
      <c r="D20" s="224">
        <f>Inputs!$B$36</f>
        <v>0.9</v>
      </c>
      <c r="E20" s="225">
        <f t="shared" si="0"/>
        <v>3360956.7135197613</v>
      </c>
      <c r="F20" s="511">
        <f>'Avoided Truck Miles'!AA21</f>
        <v>7009.506797267927</v>
      </c>
      <c r="G20" s="513">
        <f>Inputs!$B$37</f>
        <v>3.6</v>
      </c>
      <c r="H20" s="511">
        <f t="shared" si="1"/>
        <v>25234.22447016454</v>
      </c>
      <c r="I20" s="511">
        <f t="shared" si="2"/>
        <v>3335722.4890495967</v>
      </c>
      <c r="J20" s="225">
        <f>I20/((1+Inputs!$B$6)^(B20-Inputs!$B$10))</f>
        <v>1959385.402572098</v>
      </c>
      <c r="K20" s="226">
        <f>I20/((1+Inputs!$B$5)^(B20-Inputs!$B$10))</f>
        <v>986919.9193722433</v>
      </c>
    </row>
    <row r="21" spans="1:11" ht="12.75">
      <c r="A21" s="169">
        <v>17</v>
      </c>
      <c r="B21" s="170">
        <v>2037</v>
      </c>
      <c r="C21" s="171">
        <f>'Avoided Truck Miles'!Y22</f>
        <v>3734396.3483552905</v>
      </c>
      <c r="D21" s="224">
        <f>Inputs!$B$36</f>
        <v>0.9</v>
      </c>
      <c r="E21" s="225">
        <f t="shared" si="0"/>
        <v>3360956.7135197613</v>
      </c>
      <c r="F21" s="511">
        <f>'Avoided Truck Miles'!AA22</f>
        <v>7009.506797267927</v>
      </c>
      <c r="G21" s="513">
        <f>Inputs!$B$37</f>
        <v>3.6</v>
      </c>
      <c r="H21" s="511">
        <f t="shared" si="1"/>
        <v>25234.22447016454</v>
      </c>
      <c r="I21" s="511">
        <f t="shared" si="2"/>
        <v>3335722.4890495967</v>
      </c>
      <c r="J21" s="225">
        <f>I21/((1+Inputs!$B$6)^(B21-Inputs!$B$10))</f>
        <v>1902315.9248272795</v>
      </c>
      <c r="K21" s="226">
        <f>I21/((1+Inputs!$B$5)^(B21-Inputs!$B$10))</f>
        <v>922355.0648338723</v>
      </c>
    </row>
    <row r="22" spans="1:11" ht="12.75">
      <c r="A22" s="169">
        <v>18</v>
      </c>
      <c r="B22" s="170">
        <v>2038</v>
      </c>
      <c r="C22" s="171">
        <f>'Avoided Truck Miles'!Y23</f>
        <v>3734396.3483552905</v>
      </c>
      <c r="D22" s="224">
        <f>Inputs!$B$36</f>
        <v>0.9</v>
      </c>
      <c r="E22" s="225">
        <f t="shared" si="0"/>
        <v>3360956.7135197613</v>
      </c>
      <c r="F22" s="511">
        <f>'Avoided Truck Miles'!AA23</f>
        <v>7009.506797267927</v>
      </c>
      <c r="G22" s="513">
        <f>Inputs!$B$37</f>
        <v>3.6</v>
      </c>
      <c r="H22" s="511">
        <f t="shared" si="1"/>
        <v>25234.22447016454</v>
      </c>
      <c r="I22" s="511">
        <f t="shared" si="2"/>
        <v>3335722.4890495967</v>
      </c>
      <c r="J22" s="225">
        <f>I22/((1+Inputs!$B$6)^(B22-Inputs!$B$10))</f>
        <v>1846908.6648808538</v>
      </c>
      <c r="K22" s="226">
        <f>I22/((1+Inputs!$B$5)^(B22-Inputs!$B$10))</f>
        <v>862014.0792839929</v>
      </c>
    </row>
    <row r="23" spans="1:11" ht="12.75">
      <c r="A23" s="169">
        <v>19</v>
      </c>
      <c r="B23" s="170">
        <v>2039</v>
      </c>
      <c r="C23" s="171">
        <f>'Avoided Truck Miles'!Y24</f>
        <v>3734396.3483552905</v>
      </c>
      <c r="D23" s="224">
        <f>Inputs!$B$36</f>
        <v>0.9</v>
      </c>
      <c r="E23" s="225">
        <f t="shared" si="0"/>
        <v>3360956.7135197613</v>
      </c>
      <c r="F23" s="511">
        <f>'Avoided Truck Miles'!AA24</f>
        <v>7009.506797267927</v>
      </c>
      <c r="G23" s="513">
        <f>Inputs!$B$37</f>
        <v>3.6</v>
      </c>
      <c r="H23" s="511">
        <f t="shared" si="1"/>
        <v>25234.22447016454</v>
      </c>
      <c r="I23" s="511">
        <f t="shared" si="2"/>
        <v>3335722.4890495967</v>
      </c>
      <c r="J23" s="225">
        <f>I23/((1+Inputs!$B$6)^(B23-Inputs!$B$10))</f>
        <v>1793115.2086221885</v>
      </c>
      <c r="K23" s="226">
        <f>I23/((1+Inputs!$B$5)^(B23-Inputs!$B$10))</f>
        <v>805620.6348448531</v>
      </c>
    </row>
    <row r="24" spans="1:11" ht="12.75">
      <c r="A24" s="169">
        <v>20</v>
      </c>
      <c r="B24" s="170">
        <v>2040</v>
      </c>
      <c r="C24" s="171">
        <f>'Avoided Truck Miles'!Y25</f>
        <v>3734396.3483552905</v>
      </c>
      <c r="D24" s="224">
        <f>Inputs!$B$36</f>
        <v>0.9</v>
      </c>
      <c r="E24" s="225">
        <f t="shared" si="0"/>
        <v>3360956.7135197613</v>
      </c>
      <c r="F24" s="511">
        <f>'Avoided Truck Miles'!AA25</f>
        <v>7009.506797267927</v>
      </c>
      <c r="G24" s="513">
        <f>Inputs!$B$37</f>
        <v>3.6</v>
      </c>
      <c r="H24" s="511">
        <f t="shared" si="1"/>
        <v>25234.22447016454</v>
      </c>
      <c r="I24" s="511">
        <f t="shared" si="2"/>
        <v>3335722.4890495967</v>
      </c>
      <c r="J24" s="225">
        <f>I24/((1+Inputs!$B$6)^(B24-Inputs!$B$10))</f>
        <v>1740888.552060377</v>
      </c>
      <c r="K24" s="226">
        <f>I24/((1+Inputs!$B$5)^(B24-Inputs!$B$10))</f>
        <v>752916.4811634141</v>
      </c>
    </row>
    <row r="25" spans="1:11" ht="12.75">
      <c r="A25" s="169">
        <v>21</v>
      </c>
      <c r="B25" s="170">
        <v>2041</v>
      </c>
      <c r="C25" s="171">
        <f>'Avoided Truck Miles'!Y26</f>
        <v>3734396.3483552905</v>
      </c>
      <c r="D25" s="224">
        <f>Inputs!$B$36</f>
        <v>0.9</v>
      </c>
      <c r="E25" s="225">
        <f t="shared" si="0"/>
        <v>3360956.7135197613</v>
      </c>
      <c r="F25" s="511">
        <f>'Avoided Truck Miles'!AA26</f>
        <v>7009.506797267927</v>
      </c>
      <c r="G25" s="513">
        <f>Inputs!$B$37</f>
        <v>3.6</v>
      </c>
      <c r="H25" s="511">
        <f t="shared" si="1"/>
        <v>25234.22447016454</v>
      </c>
      <c r="I25" s="511">
        <f t="shared" si="2"/>
        <v>3335722.4890495967</v>
      </c>
      <c r="J25" s="225">
        <f>I25/((1+Inputs!$B$6)^(B25-Inputs!$B$10))</f>
        <v>1690183.0602527931</v>
      </c>
      <c r="K25" s="226">
        <f>I25/((1+Inputs!$B$5)^(B25-Inputs!$B$10))</f>
        <v>703660.2627695459</v>
      </c>
    </row>
    <row r="26" spans="1:11" ht="12.75">
      <c r="A26" s="169">
        <v>22</v>
      </c>
      <c r="B26" s="170">
        <v>2042</v>
      </c>
      <c r="C26" s="171">
        <f>'Avoided Truck Miles'!Y27</f>
        <v>3734396.3483552905</v>
      </c>
      <c r="D26" s="224">
        <f>Inputs!$B$36</f>
        <v>0.9</v>
      </c>
      <c r="E26" s="225">
        <f t="shared" si="0"/>
        <v>3360956.7135197613</v>
      </c>
      <c r="F26" s="511">
        <f>'Avoided Truck Miles'!AA27</f>
        <v>7009.506797267927</v>
      </c>
      <c r="G26" s="513">
        <f>Inputs!$B$37</f>
        <v>3.6</v>
      </c>
      <c r="H26" s="511">
        <f t="shared" si="1"/>
        <v>25234.22447016454</v>
      </c>
      <c r="I26" s="511">
        <f t="shared" si="2"/>
        <v>3335722.4890495967</v>
      </c>
      <c r="J26" s="225">
        <f>I26/((1+Inputs!$B$6)^(B26-Inputs!$B$10))</f>
        <v>1640954.4274298965</v>
      </c>
      <c r="K26" s="226">
        <f>I26/((1+Inputs!$B$5)^(B26-Inputs!$B$10))</f>
        <v>657626.4138033139</v>
      </c>
    </row>
    <row r="27" spans="1:11" ht="12.75">
      <c r="A27" s="169">
        <v>23</v>
      </c>
      <c r="B27" s="170">
        <v>2043</v>
      </c>
      <c r="C27" s="171">
        <f>'Avoided Truck Miles'!Y28</f>
        <v>3734396.3483552905</v>
      </c>
      <c r="D27" s="224">
        <f>Inputs!$B$36</f>
        <v>0.9</v>
      </c>
      <c r="E27" s="225">
        <f t="shared" si="0"/>
        <v>3360956.7135197613</v>
      </c>
      <c r="F27" s="511">
        <f>'Avoided Truck Miles'!AA28</f>
        <v>7009.506797267927</v>
      </c>
      <c r="G27" s="513">
        <f>Inputs!$B$37</f>
        <v>3.6</v>
      </c>
      <c r="H27" s="511">
        <f t="shared" si="1"/>
        <v>25234.22447016454</v>
      </c>
      <c r="I27" s="511">
        <f t="shared" si="2"/>
        <v>3335722.4890495967</v>
      </c>
      <c r="J27" s="225">
        <f>I27/((1+Inputs!$B$6)^(B27-Inputs!$B$10))</f>
        <v>1593159.638281453</v>
      </c>
      <c r="K27" s="226">
        <f>I27/((1+Inputs!$B$5)^(B27-Inputs!$B$10))</f>
        <v>614604.125049826</v>
      </c>
    </row>
    <row r="28" spans="1:11" ht="12.75">
      <c r="A28" s="169">
        <v>24</v>
      </c>
      <c r="B28" s="170">
        <v>2044</v>
      </c>
      <c r="C28" s="171">
        <f>'Avoided Truck Miles'!Y29</f>
        <v>3734396.3483552905</v>
      </c>
      <c r="D28" s="224">
        <f>Inputs!$B$36</f>
        <v>0.9</v>
      </c>
      <c r="E28" s="225">
        <f t="shared" si="0"/>
        <v>3360956.7135197613</v>
      </c>
      <c r="F28" s="511">
        <f>'Avoided Truck Miles'!AA29</f>
        <v>7009.506797267927</v>
      </c>
      <c r="G28" s="513">
        <f>Inputs!$B$37</f>
        <v>3.6</v>
      </c>
      <c r="H28" s="511">
        <f t="shared" si="1"/>
        <v>25234.22447016454</v>
      </c>
      <c r="I28" s="511">
        <f t="shared" si="2"/>
        <v>3335722.4890495967</v>
      </c>
      <c r="J28" s="225">
        <f>I28/((1+Inputs!$B$6)^(B28-Inputs!$B$10))</f>
        <v>1546756.9303703425</v>
      </c>
      <c r="K28" s="226">
        <f>I28/((1+Inputs!$B$5)^(B28-Inputs!$B$10))</f>
        <v>574396.3785512393</v>
      </c>
    </row>
    <row r="29" spans="1:11" ht="12.75">
      <c r="A29" s="169">
        <v>25</v>
      </c>
      <c r="B29" s="170">
        <v>2045</v>
      </c>
      <c r="C29" s="171">
        <f>'Avoided Truck Miles'!Y30</f>
        <v>3734396.3483552905</v>
      </c>
      <c r="D29" s="224">
        <f>Inputs!$B$36</f>
        <v>0.9</v>
      </c>
      <c r="E29" s="225">
        <f t="shared" si="0"/>
        <v>3360956.7135197613</v>
      </c>
      <c r="F29" s="511">
        <f>'Avoided Truck Miles'!AA30</f>
        <v>7009.506797267927</v>
      </c>
      <c r="G29" s="513">
        <f>Inputs!$B$37</f>
        <v>3.6</v>
      </c>
      <c r="H29" s="511">
        <f t="shared" si="1"/>
        <v>25234.22447016454</v>
      </c>
      <c r="I29" s="511">
        <f t="shared" si="2"/>
        <v>3335722.4890495967</v>
      </c>
      <c r="J29" s="225">
        <f>I29/((1+Inputs!$B$6)^(B29-Inputs!$B$10))</f>
        <v>1501705.7576411094</v>
      </c>
      <c r="K29" s="226">
        <f>I29/((1+Inputs!$B$5)^(B29-Inputs!$B$10))</f>
        <v>536819.0453749899</v>
      </c>
    </row>
    <row r="30" spans="1:11" ht="12.75">
      <c r="A30" s="169">
        <v>26</v>
      </c>
      <c r="B30" s="170">
        <v>2046</v>
      </c>
      <c r="C30" s="171">
        <f>'Avoided Truck Miles'!Y31</f>
        <v>3734396.3483552905</v>
      </c>
      <c r="D30" s="224">
        <f>Inputs!$B$36</f>
        <v>0.9</v>
      </c>
      <c r="E30" s="225">
        <f t="shared" si="0"/>
        <v>3360956.7135197613</v>
      </c>
      <c r="F30" s="511">
        <f>'Avoided Truck Miles'!AA31</f>
        <v>7009.506797267927</v>
      </c>
      <c r="G30" s="513">
        <f>Inputs!$B$37</f>
        <v>3.6</v>
      </c>
      <c r="H30" s="511">
        <f t="shared" si="1"/>
        <v>25234.22447016454</v>
      </c>
      <c r="I30" s="511">
        <f t="shared" si="2"/>
        <v>3335722.4890495967</v>
      </c>
      <c r="J30" s="225">
        <f>I30/((1+Inputs!$B$6)^(B30-Inputs!$B$10))</f>
        <v>1457966.7549913684</v>
      </c>
      <c r="K30" s="226">
        <f>I30/((1+Inputs!$B$5)^(B30-Inputs!$B$10))</f>
        <v>501700.04240653274</v>
      </c>
    </row>
    <row r="31" spans="1:11" ht="12.75">
      <c r="A31" s="169">
        <v>27</v>
      </c>
      <c r="B31" s="170">
        <v>2047</v>
      </c>
      <c r="C31" s="171">
        <f>'Avoided Truck Miles'!Y32</f>
        <v>3734396.3483552905</v>
      </c>
      <c r="D31" s="224">
        <f>Inputs!$B$36</f>
        <v>0.9</v>
      </c>
      <c r="E31" s="225">
        <f t="shared" si="0"/>
        <v>3360956.7135197613</v>
      </c>
      <c r="F31" s="511">
        <f>'Avoided Truck Miles'!AA32</f>
        <v>7009.506797267927</v>
      </c>
      <c r="G31" s="513">
        <f>Inputs!$B$37</f>
        <v>3.6</v>
      </c>
      <c r="H31" s="511">
        <f t="shared" si="1"/>
        <v>25234.22447016454</v>
      </c>
      <c r="I31" s="511">
        <f t="shared" si="2"/>
        <v>3335722.4890495967</v>
      </c>
      <c r="J31" s="225">
        <f>I31/((1+Inputs!$B$6)^(B31-Inputs!$B$10))</f>
        <v>1415501.703875115</v>
      </c>
      <c r="K31" s="226">
        <f>I31/((1+Inputs!$B$5)^(B31-Inputs!$B$10))</f>
        <v>468878.54430517077</v>
      </c>
    </row>
    <row r="32" spans="1:11" ht="12.75">
      <c r="A32" s="169">
        <v>28</v>
      </c>
      <c r="B32" s="170">
        <v>2048</v>
      </c>
      <c r="C32" s="171">
        <f>'Avoided Truck Miles'!Y33</f>
        <v>3734396.3483552905</v>
      </c>
      <c r="D32" s="224">
        <f>Inputs!$B$36</f>
        <v>0.9</v>
      </c>
      <c r="E32" s="225">
        <f t="shared" si="0"/>
        <v>3360956.7135197613</v>
      </c>
      <c r="F32" s="511">
        <f>'Avoided Truck Miles'!AA33</f>
        <v>7009.506797267927</v>
      </c>
      <c r="G32" s="513">
        <f>Inputs!$B$37</f>
        <v>3.6</v>
      </c>
      <c r="H32" s="511">
        <f t="shared" si="1"/>
        <v>25234.22447016454</v>
      </c>
      <c r="I32" s="511">
        <f t="shared" si="2"/>
        <v>3335722.4890495967</v>
      </c>
      <c r="J32" s="225">
        <f>I32/((1+Inputs!$B$6)^(B32-Inputs!$B$10))</f>
        <v>1374273.4989078785</v>
      </c>
      <c r="K32" s="226">
        <f>I32/((1+Inputs!$B$5)^(B32-Inputs!$B$10))</f>
        <v>438204.2470141783</v>
      </c>
    </row>
    <row r="33" spans="1:11" ht="12.75">
      <c r="A33" s="169">
        <v>29</v>
      </c>
      <c r="B33" s="170">
        <v>2049</v>
      </c>
      <c r="C33" s="171">
        <f>'Avoided Truck Miles'!Y34</f>
        <v>3734396.3483552905</v>
      </c>
      <c r="D33" s="224">
        <f>Inputs!$B$36</f>
        <v>0.9</v>
      </c>
      <c r="E33" s="225">
        <f>C33*D33</f>
        <v>3360956.7135197613</v>
      </c>
      <c r="F33" s="511">
        <f>'Avoided Truck Miles'!AA34</f>
        <v>7009.506797267927</v>
      </c>
      <c r="G33" s="513">
        <f>Inputs!$B$37</f>
        <v>3.6</v>
      </c>
      <c r="H33" s="511">
        <f t="shared" si="1"/>
        <v>25234.22447016454</v>
      </c>
      <c r="I33" s="511">
        <f t="shared" si="2"/>
        <v>3335722.4890495967</v>
      </c>
      <c r="J33" s="225">
        <f>I33/((1+Inputs!$B$6)^(B33-Inputs!$B$10))</f>
        <v>1334246.1154445421</v>
      </c>
      <c r="K33" s="226">
        <f>I33/((1+Inputs!$B$5)^(B33-Inputs!$B$10))</f>
        <v>409536.679452503</v>
      </c>
    </row>
    <row r="34" spans="1:11" ht="12.75">
      <c r="A34" s="169">
        <v>30</v>
      </c>
      <c r="B34" s="170">
        <v>2050</v>
      </c>
      <c r="C34" s="171">
        <f>'Avoided Truck Miles'!Y35</f>
        <v>3734358.8189435257</v>
      </c>
      <c r="D34" s="224">
        <f>Inputs!$B$36</f>
        <v>0.9</v>
      </c>
      <c r="E34" s="225">
        <f>C34*D34</f>
        <v>3360922.9370491733</v>
      </c>
      <c r="F34" s="511">
        <f>'Avoided Truck Miles'!AA35</f>
        <v>7009.506797267927</v>
      </c>
      <c r="G34" s="513">
        <f>Inputs!$B$37</f>
        <v>3.6</v>
      </c>
      <c r="H34" s="511">
        <f t="shared" si="1"/>
        <v>25234.22447016454</v>
      </c>
      <c r="I34" s="511">
        <f t="shared" si="2"/>
        <v>3335688.7125790087</v>
      </c>
      <c r="J34" s="225">
        <f>I34/((1+Inputs!$B$6)^(B34-Inputs!$B$10))</f>
        <v>1295371.4614470857</v>
      </c>
      <c r="K34" s="226">
        <f>I34/((1+Inputs!$B$5)^(B34-Inputs!$B$10))</f>
        <v>382740.6846856577</v>
      </c>
    </row>
    <row r="35" spans="1:11" ht="13.5" thickBot="1">
      <c r="A35" s="643" t="s">
        <v>0</v>
      </c>
      <c r="B35" s="644"/>
      <c r="C35" s="194">
        <f>SUM(C2:C34)</f>
        <v>112671227.921247</v>
      </c>
      <c r="D35" s="227"/>
      <c r="E35" s="228">
        <f>SUM(E2:E34)</f>
        <v>101404105.12912229</v>
      </c>
      <c r="F35" s="228">
        <f>SUM(F2:F34)</f>
        <v>210285.2039180379</v>
      </c>
      <c r="G35" s="228"/>
      <c r="H35" s="228">
        <f>SUM(H2:H34)</f>
        <v>757026.7341049357</v>
      </c>
      <c r="I35" s="228">
        <f>SUM(I2:I34)</f>
        <v>100647078.39501736</v>
      </c>
      <c r="J35" s="228">
        <f>SUM(J2:J34)</f>
        <v>62108268.89022208</v>
      </c>
      <c r="K35" s="229">
        <f>SUM(K2:K34)</f>
        <v>36535130.15037705</v>
      </c>
    </row>
    <row r="36" ht="13.5" thickBot="1"/>
    <row r="37" spans="1:11" ht="60">
      <c r="A37" s="156" t="s">
        <v>64</v>
      </c>
      <c r="B37" s="157" t="s">
        <v>1</v>
      </c>
      <c r="C37" s="157" t="s">
        <v>85</v>
      </c>
      <c r="D37" s="221" t="s">
        <v>498</v>
      </c>
      <c r="E37" s="222" t="s">
        <v>414</v>
      </c>
      <c r="F37" s="512" t="s">
        <v>489</v>
      </c>
      <c r="G37" s="512" t="s">
        <v>497</v>
      </c>
      <c r="H37" s="512" t="s">
        <v>499</v>
      </c>
      <c r="I37" s="512" t="s">
        <v>500</v>
      </c>
      <c r="J37" s="222" t="s">
        <v>415</v>
      </c>
      <c r="K37" s="223" t="s">
        <v>416</v>
      </c>
    </row>
    <row r="38" spans="1:11" ht="12.75">
      <c r="A38" s="169">
        <v>-2</v>
      </c>
      <c r="B38" s="170">
        <v>2018</v>
      </c>
      <c r="C38" s="171">
        <f>ROUND(C2,-3)</f>
        <v>0</v>
      </c>
      <c r="D38" s="224">
        <f>D2</f>
        <v>0.9</v>
      </c>
      <c r="E38" s="225">
        <f aca="true" t="shared" si="3" ref="E38:K38">ROUND(E2,-3)</f>
        <v>0</v>
      </c>
      <c r="F38" s="511">
        <f t="shared" si="3"/>
        <v>0</v>
      </c>
      <c r="G38" s="513">
        <f aca="true" t="shared" si="4" ref="G38:G70">G2</f>
        <v>3.6</v>
      </c>
      <c r="H38" s="511">
        <f t="shared" si="3"/>
        <v>0</v>
      </c>
      <c r="I38" s="511">
        <f t="shared" si="3"/>
        <v>0</v>
      </c>
      <c r="J38" s="225">
        <f t="shared" si="3"/>
        <v>0</v>
      </c>
      <c r="K38" s="226">
        <f t="shared" si="3"/>
        <v>0</v>
      </c>
    </row>
    <row r="39" spans="1:11" ht="12.75">
      <c r="A39" s="169">
        <v>-1</v>
      </c>
      <c r="B39" s="170">
        <v>2019</v>
      </c>
      <c r="C39" s="171">
        <f aca="true" t="shared" si="5" ref="C39:K39">ROUND(C3,-3)</f>
        <v>0</v>
      </c>
      <c r="D39" s="224">
        <f aca="true" t="shared" si="6" ref="D39:D70">D3</f>
        <v>0.9</v>
      </c>
      <c r="E39" s="225">
        <f t="shared" si="5"/>
        <v>0</v>
      </c>
      <c r="F39" s="511">
        <f t="shared" si="5"/>
        <v>0</v>
      </c>
      <c r="G39" s="513">
        <f t="shared" si="4"/>
        <v>3.6</v>
      </c>
      <c r="H39" s="511">
        <f t="shared" si="5"/>
        <v>0</v>
      </c>
      <c r="I39" s="511">
        <f t="shared" si="5"/>
        <v>0</v>
      </c>
      <c r="J39" s="225">
        <f t="shared" si="5"/>
        <v>0</v>
      </c>
      <c r="K39" s="226">
        <f t="shared" si="5"/>
        <v>0</v>
      </c>
    </row>
    <row r="40" spans="1:11" ht="12.75">
      <c r="A40" s="169">
        <v>0</v>
      </c>
      <c r="B40" s="170">
        <v>2020</v>
      </c>
      <c r="C40" s="171">
        <f aca="true" t="shared" si="7" ref="C40:K40">ROUND(C4,-3)</f>
        <v>0</v>
      </c>
      <c r="D40" s="224">
        <f t="shared" si="6"/>
        <v>0.9</v>
      </c>
      <c r="E40" s="225">
        <f t="shared" si="7"/>
        <v>0</v>
      </c>
      <c r="F40" s="511">
        <f t="shared" si="7"/>
        <v>0</v>
      </c>
      <c r="G40" s="513">
        <f t="shared" si="4"/>
        <v>3.6</v>
      </c>
      <c r="H40" s="511">
        <f t="shared" si="7"/>
        <v>0</v>
      </c>
      <c r="I40" s="511">
        <f t="shared" si="7"/>
        <v>0</v>
      </c>
      <c r="J40" s="225">
        <f t="shared" si="7"/>
        <v>0</v>
      </c>
      <c r="K40" s="226">
        <f t="shared" si="7"/>
        <v>0</v>
      </c>
    </row>
    <row r="41" spans="1:11" ht="12.75">
      <c r="A41" s="169">
        <v>1</v>
      </c>
      <c r="B41" s="170">
        <v>2021</v>
      </c>
      <c r="C41" s="171">
        <f aca="true" t="shared" si="8" ref="C41:K41">ROUND(C5,-3)</f>
        <v>3773000</v>
      </c>
      <c r="D41" s="224">
        <f t="shared" si="6"/>
        <v>0.9</v>
      </c>
      <c r="E41" s="225">
        <f t="shared" si="8"/>
        <v>3396000</v>
      </c>
      <c r="F41" s="511">
        <f t="shared" si="8"/>
        <v>7000</v>
      </c>
      <c r="G41" s="513">
        <f t="shared" si="4"/>
        <v>3.6</v>
      </c>
      <c r="H41" s="511">
        <f t="shared" si="8"/>
        <v>25000</v>
      </c>
      <c r="I41" s="511">
        <f t="shared" si="8"/>
        <v>3371000</v>
      </c>
      <c r="J41" s="225">
        <f t="shared" si="8"/>
        <v>3085000</v>
      </c>
      <c r="K41" s="226">
        <f t="shared" si="8"/>
        <v>2751000</v>
      </c>
    </row>
    <row r="42" spans="1:11" ht="12.75">
      <c r="A42" s="169">
        <v>2</v>
      </c>
      <c r="B42" s="170">
        <v>2022</v>
      </c>
      <c r="C42" s="171">
        <f aca="true" t="shared" si="9" ref="C42:K42">ROUND(C6,-3)</f>
        <v>3802000</v>
      </c>
      <c r="D42" s="224">
        <f t="shared" si="6"/>
        <v>0.9</v>
      </c>
      <c r="E42" s="225">
        <f t="shared" si="9"/>
        <v>3422000</v>
      </c>
      <c r="F42" s="511">
        <f t="shared" si="9"/>
        <v>7000</v>
      </c>
      <c r="G42" s="513">
        <f t="shared" si="4"/>
        <v>3.6</v>
      </c>
      <c r="H42" s="511">
        <f t="shared" si="9"/>
        <v>25000</v>
      </c>
      <c r="I42" s="511">
        <f t="shared" si="9"/>
        <v>3397000</v>
      </c>
      <c r="J42" s="225">
        <f t="shared" si="9"/>
        <v>3018000</v>
      </c>
      <c r="K42" s="226">
        <f t="shared" si="9"/>
        <v>2591000</v>
      </c>
    </row>
    <row r="43" spans="1:11" ht="12.75">
      <c r="A43" s="169">
        <v>3</v>
      </c>
      <c r="B43" s="170">
        <v>2023</v>
      </c>
      <c r="C43" s="171">
        <f aca="true" t="shared" si="10" ref="C43:K43">ROUND(C7,-3)</f>
        <v>3831000</v>
      </c>
      <c r="D43" s="224">
        <f t="shared" si="6"/>
        <v>0.9</v>
      </c>
      <c r="E43" s="225">
        <f t="shared" si="10"/>
        <v>3448000</v>
      </c>
      <c r="F43" s="511">
        <f t="shared" si="10"/>
        <v>7000</v>
      </c>
      <c r="G43" s="513">
        <f t="shared" si="4"/>
        <v>3.6</v>
      </c>
      <c r="H43" s="511">
        <f t="shared" si="10"/>
        <v>25000</v>
      </c>
      <c r="I43" s="511">
        <f t="shared" si="10"/>
        <v>3423000</v>
      </c>
      <c r="J43" s="225">
        <f t="shared" si="10"/>
        <v>2953000</v>
      </c>
      <c r="K43" s="226">
        <f t="shared" si="10"/>
        <v>2440000</v>
      </c>
    </row>
    <row r="44" spans="1:11" ht="12.75">
      <c r="A44" s="169">
        <v>4</v>
      </c>
      <c r="B44" s="170">
        <v>2024</v>
      </c>
      <c r="C44" s="171">
        <f aca="true" t="shared" si="11" ref="C44:K44">ROUND(C8,-3)</f>
        <v>3860000</v>
      </c>
      <c r="D44" s="224">
        <f t="shared" si="6"/>
        <v>0.9</v>
      </c>
      <c r="E44" s="225">
        <f t="shared" si="11"/>
        <v>3474000</v>
      </c>
      <c r="F44" s="511">
        <f t="shared" si="11"/>
        <v>7000</v>
      </c>
      <c r="G44" s="513">
        <f t="shared" si="4"/>
        <v>3.6</v>
      </c>
      <c r="H44" s="511">
        <f t="shared" si="11"/>
        <v>25000</v>
      </c>
      <c r="I44" s="511">
        <f t="shared" si="11"/>
        <v>3449000</v>
      </c>
      <c r="J44" s="225">
        <f t="shared" si="11"/>
        <v>2889000</v>
      </c>
      <c r="K44" s="226">
        <f t="shared" si="11"/>
        <v>2298000</v>
      </c>
    </row>
    <row r="45" spans="1:11" ht="12.75">
      <c r="A45" s="169">
        <v>5</v>
      </c>
      <c r="B45" s="170">
        <v>2025</v>
      </c>
      <c r="C45" s="171">
        <f aca="true" t="shared" si="12" ref="C45:K45">ROUND(C9,-3)</f>
        <v>3889000</v>
      </c>
      <c r="D45" s="224">
        <f t="shared" si="6"/>
        <v>0.9</v>
      </c>
      <c r="E45" s="225">
        <f t="shared" si="12"/>
        <v>3500000</v>
      </c>
      <c r="F45" s="511">
        <f t="shared" si="12"/>
        <v>7000</v>
      </c>
      <c r="G45" s="513">
        <f t="shared" si="4"/>
        <v>3.6</v>
      </c>
      <c r="H45" s="511">
        <f t="shared" si="12"/>
        <v>25000</v>
      </c>
      <c r="I45" s="511">
        <f t="shared" si="12"/>
        <v>3475000</v>
      </c>
      <c r="J45" s="225">
        <f t="shared" si="12"/>
        <v>2826000</v>
      </c>
      <c r="K45" s="226">
        <f t="shared" si="12"/>
        <v>2164000</v>
      </c>
    </row>
    <row r="46" spans="1:11" ht="12.75">
      <c r="A46" s="169">
        <v>6</v>
      </c>
      <c r="B46" s="170">
        <v>2026</v>
      </c>
      <c r="C46" s="171">
        <f aca="true" t="shared" si="13" ref="C46:K46">ROUND(C10,-3)</f>
        <v>3889000</v>
      </c>
      <c r="D46" s="224">
        <f t="shared" si="6"/>
        <v>0.9</v>
      </c>
      <c r="E46" s="225">
        <f t="shared" si="13"/>
        <v>3500000</v>
      </c>
      <c r="F46" s="511">
        <f t="shared" si="13"/>
        <v>7000</v>
      </c>
      <c r="G46" s="513">
        <f t="shared" si="4"/>
        <v>3.6</v>
      </c>
      <c r="H46" s="511">
        <f t="shared" si="13"/>
        <v>25000</v>
      </c>
      <c r="I46" s="511">
        <f t="shared" si="13"/>
        <v>3475000</v>
      </c>
      <c r="J46" s="225">
        <f t="shared" si="13"/>
        <v>2743000</v>
      </c>
      <c r="K46" s="226">
        <f t="shared" si="13"/>
        <v>2023000</v>
      </c>
    </row>
    <row r="47" spans="1:11" ht="12.75">
      <c r="A47" s="169">
        <v>7</v>
      </c>
      <c r="B47" s="170">
        <v>2027</v>
      </c>
      <c r="C47" s="171">
        <f aca="true" t="shared" si="14" ref="C47:K47">ROUND(C11,-3)</f>
        <v>3734000</v>
      </c>
      <c r="D47" s="224">
        <f t="shared" si="6"/>
        <v>0.9</v>
      </c>
      <c r="E47" s="225">
        <f t="shared" si="14"/>
        <v>3361000</v>
      </c>
      <c r="F47" s="511">
        <f t="shared" si="14"/>
        <v>7000</v>
      </c>
      <c r="G47" s="513">
        <f t="shared" si="4"/>
        <v>3.6</v>
      </c>
      <c r="H47" s="511">
        <f t="shared" si="14"/>
        <v>25000</v>
      </c>
      <c r="I47" s="511">
        <f t="shared" si="14"/>
        <v>3336000</v>
      </c>
      <c r="J47" s="225">
        <f t="shared" si="14"/>
        <v>2557000</v>
      </c>
      <c r="K47" s="226">
        <f t="shared" si="14"/>
        <v>1814000</v>
      </c>
    </row>
    <row r="48" spans="1:11" ht="12.75">
      <c r="A48" s="169">
        <v>8</v>
      </c>
      <c r="B48" s="170">
        <v>2028</v>
      </c>
      <c r="C48" s="171">
        <f aca="true" t="shared" si="15" ref="C48:K48">ROUND(C12,-3)</f>
        <v>3734000</v>
      </c>
      <c r="D48" s="224">
        <f t="shared" si="6"/>
        <v>0.9</v>
      </c>
      <c r="E48" s="225">
        <f t="shared" si="15"/>
        <v>3361000</v>
      </c>
      <c r="F48" s="511">
        <f t="shared" si="15"/>
        <v>7000</v>
      </c>
      <c r="G48" s="513">
        <f t="shared" si="4"/>
        <v>3.6</v>
      </c>
      <c r="H48" s="511">
        <f t="shared" si="15"/>
        <v>25000</v>
      </c>
      <c r="I48" s="511">
        <f t="shared" si="15"/>
        <v>3336000</v>
      </c>
      <c r="J48" s="225">
        <f t="shared" si="15"/>
        <v>2482000</v>
      </c>
      <c r="K48" s="226">
        <f t="shared" si="15"/>
        <v>1696000</v>
      </c>
    </row>
    <row r="49" spans="1:11" ht="12.75">
      <c r="A49" s="169">
        <v>9</v>
      </c>
      <c r="B49" s="170">
        <v>2029</v>
      </c>
      <c r="C49" s="171">
        <f aca="true" t="shared" si="16" ref="C49:K49">ROUND(C13,-3)</f>
        <v>3734000</v>
      </c>
      <c r="D49" s="224">
        <f t="shared" si="6"/>
        <v>0.9</v>
      </c>
      <c r="E49" s="225">
        <f t="shared" si="16"/>
        <v>3361000</v>
      </c>
      <c r="F49" s="511">
        <f t="shared" si="16"/>
        <v>7000</v>
      </c>
      <c r="G49" s="513">
        <f t="shared" si="4"/>
        <v>3.6</v>
      </c>
      <c r="H49" s="511">
        <f t="shared" si="16"/>
        <v>25000</v>
      </c>
      <c r="I49" s="511">
        <f t="shared" si="16"/>
        <v>3336000</v>
      </c>
      <c r="J49" s="225">
        <f t="shared" si="16"/>
        <v>2410000</v>
      </c>
      <c r="K49" s="226">
        <f t="shared" si="16"/>
        <v>1585000</v>
      </c>
    </row>
    <row r="50" spans="1:11" ht="12.75">
      <c r="A50" s="169">
        <v>10</v>
      </c>
      <c r="B50" s="170">
        <v>2030</v>
      </c>
      <c r="C50" s="171">
        <f aca="true" t="shared" si="17" ref="C50:K50">ROUND(C14,-3)</f>
        <v>3734000</v>
      </c>
      <c r="D50" s="224">
        <f t="shared" si="6"/>
        <v>0.9</v>
      </c>
      <c r="E50" s="225">
        <f t="shared" si="17"/>
        <v>3361000</v>
      </c>
      <c r="F50" s="511">
        <f t="shared" si="17"/>
        <v>7000</v>
      </c>
      <c r="G50" s="513">
        <f t="shared" si="4"/>
        <v>3.6</v>
      </c>
      <c r="H50" s="511">
        <f t="shared" si="17"/>
        <v>25000</v>
      </c>
      <c r="I50" s="511">
        <f t="shared" si="17"/>
        <v>3336000</v>
      </c>
      <c r="J50" s="225">
        <f t="shared" si="17"/>
        <v>2340000</v>
      </c>
      <c r="K50" s="226">
        <f t="shared" si="17"/>
        <v>1481000</v>
      </c>
    </row>
    <row r="51" spans="1:11" ht="12.75">
      <c r="A51" s="169">
        <v>11</v>
      </c>
      <c r="B51" s="170">
        <v>2031</v>
      </c>
      <c r="C51" s="171">
        <f aca="true" t="shared" si="18" ref="C51:K51">ROUND(C15,-3)</f>
        <v>3734000</v>
      </c>
      <c r="D51" s="224">
        <f t="shared" si="6"/>
        <v>0.9</v>
      </c>
      <c r="E51" s="225">
        <f t="shared" si="18"/>
        <v>3361000</v>
      </c>
      <c r="F51" s="511">
        <f t="shared" si="18"/>
        <v>7000</v>
      </c>
      <c r="G51" s="513">
        <f t="shared" si="4"/>
        <v>3.6</v>
      </c>
      <c r="H51" s="511">
        <f t="shared" si="18"/>
        <v>25000</v>
      </c>
      <c r="I51" s="511">
        <f t="shared" si="18"/>
        <v>3336000</v>
      </c>
      <c r="J51" s="225">
        <f t="shared" si="18"/>
        <v>2271000</v>
      </c>
      <c r="K51" s="226">
        <f t="shared" si="18"/>
        <v>1384000</v>
      </c>
    </row>
    <row r="52" spans="1:11" ht="12.75">
      <c r="A52" s="169">
        <v>12</v>
      </c>
      <c r="B52" s="170">
        <v>2032</v>
      </c>
      <c r="C52" s="171">
        <f aca="true" t="shared" si="19" ref="C52:K52">ROUND(C16,-3)</f>
        <v>3734000</v>
      </c>
      <c r="D52" s="224">
        <f t="shared" si="6"/>
        <v>0.9</v>
      </c>
      <c r="E52" s="225">
        <f t="shared" si="19"/>
        <v>3361000</v>
      </c>
      <c r="F52" s="511">
        <f t="shared" si="19"/>
        <v>7000</v>
      </c>
      <c r="G52" s="513">
        <f t="shared" si="4"/>
        <v>3.6</v>
      </c>
      <c r="H52" s="511">
        <f t="shared" si="19"/>
        <v>25000</v>
      </c>
      <c r="I52" s="511">
        <f t="shared" si="19"/>
        <v>3336000</v>
      </c>
      <c r="J52" s="225">
        <f t="shared" si="19"/>
        <v>2205000</v>
      </c>
      <c r="K52" s="226">
        <f t="shared" si="19"/>
        <v>1294000</v>
      </c>
    </row>
    <row r="53" spans="1:11" ht="12.75">
      <c r="A53" s="169">
        <v>13</v>
      </c>
      <c r="B53" s="170">
        <v>2033</v>
      </c>
      <c r="C53" s="171">
        <f aca="true" t="shared" si="20" ref="C53:K53">ROUND(C17,-3)</f>
        <v>3734000</v>
      </c>
      <c r="D53" s="224">
        <f t="shared" si="6"/>
        <v>0.9</v>
      </c>
      <c r="E53" s="225">
        <f t="shared" si="20"/>
        <v>3361000</v>
      </c>
      <c r="F53" s="511">
        <f t="shared" si="20"/>
        <v>7000</v>
      </c>
      <c r="G53" s="513">
        <f t="shared" si="4"/>
        <v>3.6</v>
      </c>
      <c r="H53" s="511">
        <f t="shared" si="20"/>
        <v>25000</v>
      </c>
      <c r="I53" s="511">
        <f t="shared" si="20"/>
        <v>3336000</v>
      </c>
      <c r="J53" s="225">
        <f t="shared" si="20"/>
        <v>2141000</v>
      </c>
      <c r="K53" s="226">
        <f t="shared" si="20"/>
        <v>1209000</v>
      </c>
    </row>
    <row r="54" spans="1:11" ht="12.75">
      <c r="A54" s="169">
        <v>14</v>
      </c>
      <c r="B54" s="170">
        <v>2034</v>
      </c>
      <c r="C54" s="171">
        <f aca="true" t="shared" si="21" ref="C54:K54">ROUND(C18,-3)</f>
        <v>3734000</v>
      </c>
      <c r="D54" s="224">
        <f t="shared" si="6"/>
        <v>0.9</v>
      </c>
      <c r="E54" s="225">
        <f t="shared" si="21"/>
        <v>3361000</v>
      </c>
      <c r="F54" s="511">
        <f t="shared" si="21"/>
        <v>7000</v>
      </c>
      <c r="G54" s="513">
        <f t="shared" si="4"/>
        <v>3.6</v>
      </c>
      <c r="H54" s="511">
        <f t="shared" si="21"/>
        <v>25000</v>
      </c>
      <c r="I54" s="511">
        <f t="shared" si="21"/>
        <v>3336000</v>
      </c>
      <c r="J54" s="225">
        <f t="shared" si="21"/>
        <v>2079000</v>
      </c>
      <c r="K54" s="226">
        <f t="shared" si="21"/>
        <v>1130000</v>
      </c>
    </row>
    <row r="55" spans="1:11" ht="12.75">
      <c r="A55" s="169">
        <v>15</v>
      </c>
      <c r="B55" s="170">
        <v>2035</v>
      </c>
      <c r="C55" s="171">
        <f aca="true" t="shared" si="22" ref="C55:K55">ROUND(C19,-3)</f>
        <v>3734000</v>
      </c>
      <c r="D55" s="224">
        <f t="shared" si="6"/>
        <v>0.9</v>
      </c>
      <c r="E55" s="225">
        <f t="shared" si="22"/>
        <v>3361000</v>
      </c>
      <c r="F55" s="511">
        <f t="shared" si="22"/>
        <v>7000</v>
      </c>
      <c r="G55" s="513">
        <f t="shared" si="4"/>
        <v>3.6</v>
      </c>
      <c r="H55" s="511">
        <f t="shared" si="22"/>
        <v>25000</v>
      </c>
      <c r="I55" s="511">
        <f t="shared" si="22"/>
        <v>3336000</v>
      </c>
      <c r="J55" s="225">
        <f t="shared" si="22"/>
        <v>2018000</v>
      </c>
      <c r="K55" s="226">
        <f t="shared" si="22"/>
        <v>1056000</v>
      </c>
    </row>
    <row r="56" spans="1:11" ht="12.75">
      <c r="A56" s="169">
        <v>16</v>
      </c>
      <c r="B56" s="170">
        <v>2036</v>
      </c>
      <c r="C56" s="171">
        <f aca="true" t="shared" si="23" ref="C56:K56">ROUND(C20,-3)</f>
        <v>3734000</v>
      </c>
      <c r="D56" s="224">
        <f t="shared" si="6"/>
        <v>0.9</v>
      </c>
      <c r="E56" s="225">
        <f t="shared" si="23"/>
        <v>3361000</v>
      </c>
      <c r="F56" s="511">
        <f t="shared" si="23"/>
        <v>7000</v>
      </c>
      <c r="G56" s="513">
        <f t="shared" si="4"/>
        <v>3.6</v>
      </c>
      <c r="H56" s="511">
        <f t="shared" si="23"/>
        <v>25000</v>
      </c>
      <c r="I56" s="511">
        <f t="shared" si="23"/>
        <v>3336000</v>
      </c>
      <c r="J56" s="225">
        <f t="shared" si="23"/>
        <v>1959000</v>
      </c>
      <c r="K56" s="226">
        <f t="shared" si="23"/>
        <v>987000</v>
      </c>
    </row>
    <row r="57" spans="1:11" ht="12.75">
      <c r="A57" s="169">
        <v>17</v>
      </c>
      <c r="B57" s="170">
        <v>2037</v>
      </c>
      <c r="C57" s="171">
        <f aca="true" t="shared" si="24" ref="C57:K57">ROUND(C21,-3)</f>
        <v>3734000</v>
      </c>
      <c r="D57" s="224">
        <f t="shared" si="6"/>
        <v>0.9</v>
      </c>
      <c r="E57" s="225">
        <f t="shared" si="24"/>
        <v>3361000</v>
      </c>
      <c r="F57" s="511">
        <f t="shared" si="24"/>
        <v>7000</v>
      </c>
      <c r="G57" s="513">
        <f t="shared" si="4"/>
        <v>3.6</v>
      </c>
      <c r="H57" s="511">
        <f t="shared" si="24"/>
        <v>25000</v>
      </c>
      <c r="I57" s="511">
        <f t="shared" si="24"/>
        <v>3336000</v>
      </c>
      <c r="J57" s="225">
        <f t="shared" si="24"/>
        <v>1902000</v>
      </c>
      <c r="K57" s="226">
        <f t="shared" si="24"/>
        <v>922000</v>
      </c>
    </row>
    <row r="58" spans="1:11" ht="12.75">
      <c r="A58" s="169">
        <v>18</v>
      </c>
      <c r="B58" s="170">
        <v>2038</v>
      </c>
      <c r="C58" s="171">
        <f aca="true" t="shared" si="25" ref="C58:K58">ROUND(C22,-3)</f>
        <v>3734000</v>
      </c>
      <c r="D58" s="224">
        <f t="shared" si="6"/>
        <v>0.9</v>
      </c>
      <c r="E58" s="225">
        <f t="shared" si="25"/>
        <v>3361000</v>
      </c>
      <c r="F58" s="511">
        <f t="shared" si="25"/>
        <v>7000</v>
      </c>
      <c r="G58" s="513">
        <f t="shared" si="4"/>
        <v>3.6</v>
      </c>
      <c r="H58" s="511">
        <f t="shared" si="25"/>
        <v>25000</v>
      </c>
      <c r="I58" s="511">
        <f t="shared" si="25"/>
        <v>3336000</v>
      </c>
      <c r="J58" s="225">
        <f t="shared" si="25"/>
        <v>1847000</v>
      </c>
      <c r="K58" s="226">
        <f t="shared" si="25"/>
        <v>862000</v>
      </c>
    </row>
    <row r="59" spans="1:11" ht="12.75">
      <c r="A59" s="169">
        <v>19</v>
      </c>
      <c r="B59" s="170">
        <v>2039</v>
      </c>
      <c r="C59" s="171">
        <f aca="true" t="shared" si="26" ref="C59:K59">ROUND(C23,-3)</f>
        <v>3734000</v>
      </c>
      <c r="D59" s="224">
        <f t="shared" si="6"/>
        <v>0.9</v>
      </c>
      <c r="E59" s="225">
        <f t="shared" si="26"/>
        <v>3361000</v>
      </c>
      <c r="F59" s="511">
        <f t="shared" si="26"/>
        <v>7000</v>
      </c>
      <c r="G59" s="513">
        <f t="shared" si="4"/>
        <v>3.6</v>
      </c>
      <c r="H59" s="511">
        <f t="shared" si="26"/>
        <v>25000</v>
      </c>
      <c r="I59" s="511">
        <f t="shared" si="26"/>
        <v>3336000</v>
      </c>
      <c r="J59" s="225">
        <f t="shared" si="26"/>
        <v>1793000</v>
      </c>
      <c r="K59" s="226">
        <f t="shared" si="26"/>
        <v>806000</v>
      </c>
    </row>
    <row r="60" spans="1:11" ht="12.75">
      <c r="A60" s="169">
        <v>20</v>
      </c>
      <c r="B60" s="170">
        <v>2040</v>
      </c>
      <c r="C60" s="171">
        <f aca="true" t="shared" si="27" ref="C60:K60">ROUND(C24,-3)</f>
        <v>3734000</v>
      </c>
      <c r="D60" s="224">
        <f t="shared" si="6"/>
        <v>0.9</v>
      </c>
      <c r="E60" s="225">
        <f t="shared" si="27"/>
        <v>3361000</v>
      </c>
      <c r="F60" s="511">
        <f t="shared" si="27"/>
        <v>7000</v>
      </c>
      <c r="G60" s="513">
        <f t="shared" si="4"/>
        <v>3.6</v>
      </c>
      <c r="H60" s="511">
        <f t="shared" si="27"/>
        <v>25000</v>
      </c>
      <c r="I60" s="511">
        <f t="shared" si="27"/>
        <v>3336000</v>
      </c>
      <c r="J60" s="225">
        <f t="shared" si="27"/>
        <v>1741000</v>
      </c>
      <c r="K60" s="226">
        <f t="shared" si="27"/>
        <v>753000</v>
      </c>
    </row>
    <row r="61" spans="1:11" ht="12.75">
      <c r="A61" s="169">
        <v>21</v>
      </c>
      <c r="B61" s="170">
        <v>2041</v>
      </c>
      <c r="C61" s="171">
        <f aca="true" t="shared" si="28" ref="C61:K61">ROUND(C25,-3)</f>
        <v>3734000</v>
      </c>
      <c r="D61" s="224">
        <f t="shared" si="6"/>
        <v>0.9</v>
      </c>
      <c r="E61" s="225">
        <f t="shared" si="28"/>
        <v>3361000</v>
      </c>
      <c r="F61" s="511">
        <f t="shared" si="28"/>
        <v>7000</v>
      </c>
      <c r="G61" s="513">
        <f t="shared" si="4"/>
        <v>3.6</v>
      </c>
      <c r="H61" s="511">
        <f t="shared" si="28"/>
        <v>25000</v>
      </c>
      <c r="I61" s="511">
        <f t="shared" si="28"/>
        <v>3336000</v>
      </c>
      <c r="J61" s="225">
        <f t="shared" si="28"/>
        <v>1690000</v>
      </c>
      <c r="K61" s="226">
        <f t="shared" si="28"/>
        <v>704000</v>
      </c>
    </row>
    <row r="62" spans="1:11" ht="12.75">
      <c r="A62" s="169">
        <v>22</v>
      </c>
      <c r="B62" s="170">
        <v>2042</v>
      </c>
      <c r="C62" s="171">
        <f aca="true" t="shared" si="29" ref="C62:K62">ROUND(C26,-3)</f>
        <v>3734000</v>
      </c>
      <c r="D62" s="224">
        <f t="shared" si="6"/>
        <v>0.9</v>
      </c>
      <c r="E62" s="225">
        <f t="shared" si="29"/>
        <v>3361000</v>
      </c>
      <c r="F62" s="511">
        <f t="shared" si="29"/>
        <v>7000</v>
      </c>
      <c r="G62" s="513">
        <f t="shared" si="4"/>
        <v>3.6</v>
      </c>
      <c r="H62" s="511">
        <f t="shared" si="29"/>
        <v>25000</v>
      </c>
      <c r="I62" s="511">
        <f t="shared" si="29"/>
        <v>3336000</v>
      </c>
      <c r="J62" s="225">
        <f t="shared" si="29"/>
        <v>1641000</v>
      </c>
      <c r="K62" s="226">
        <f t="shared" si="29"/>
        <v>658000</v>
      </c>
    </row>
    <row r="63" spans="1:11" ht="12.75">
      <c r="A63" s="169">
        <v>23</v>
      </c>
      <c r="B63" s="170">
        <v>2043</v>
      </c>
      <c r="C63" s="171">
        <f aca="true" t="shared" si="30" ref="C63:K63">ROUND(C27,-3)</f>
        <v>3734000</v>
      </c>
      <c r="D63" s="224">
        <f t="shared" si="6"/>
        <v>0.9</v>
      </c>
      <c r="E63" s="225">
        <f t="shared" si="30"/>
        <v>3361000</v>
      </c>
      <c r="F63" s="511">
        <f t="shared" si="30"/>
        <v>7000</v>
      </c>
      <c r="G63" s="513">
        <f t="shared" si="4"/>
        <v>3.6</v>
      </c>
      <c r="H63" s="511">
        <f t="shared" si="30"/>
        <v>25000</v>
      </c>
      <c r="I63" s="511">
        <f t="shared" si="30"/>
        <v>3336000</v>
      </c>
      <c r="J63" s="225">
        <f t="shared" si="30"/>
        <v>1593000</v>
      </c>
      <c r="K63" s="226">
        <f t="shared" si="30"/>
        <v>615000</v>
      </c>
    </row>
    <row r="64" spans="1:11" ht="12.75">
      <c r="A64" s="169">
        <v>24</v>
      </c>
      <c r="B64" s="170">
        <v>2044</v>
      </c>
      <c r="C64" s="171">
        <f aca="true" t="shared" si="31" ref="C64:K64">ROUND(C28,-3)</f>
        <v>3734000</v>
      </c>
      <c r="D64" s="224">
        <f t="shared" si="6"/>
        <v>0.9</v>
      </c>
      <c r="E64" s="225">
        <f t="shared" si="31"/>
        <v>3361000</v>
      </c>
      <c r="F64" s="511">
        <f t="shared" si="31"/>
        <v>7000</v>
      </c>
      <c r="G64" s="513">
        <f t="shared" si="4"/>
        <v>3.6</v>
      </c>
      <c r="H64" s="511">
        <f t="shared" si="31"/>
        <v>25000</v>
      </c>
      <c r="I64" s="511">
        <f t="shared" si="31"/>
        <v>3336000</v>
      </c>
      <c r="J64" s="225">
        <f t="shared" si="31"/>
        <v>1547000</v>
      </c>
      <c r="K64" s="226">
        <f t="shared" si="31"/>
        <v>574000</v>
      </c>
    </row>
    <row r="65" spans="1:11" ht="12.75">
      <c r="A65" s="169">
        <v>25</v>
      </c>
      <c r="B65" s="170">
        <v>2045</v>
      </c>
      <c r="C65" s="171">
        <f aca="true" t="shared" si="32" ref="C65:K65">ROUND(C29,-3)</f>
        <v>3734000</v>
      </c>
      <c r="D65" s="224">
        <f t="shared" si="6"/>
        <v>0.9</v>
      </c>
      <c r="E65" s="225">
        <f t="shared" si="32"/>
        <v>3361000</v>
      </c>
      <c r="F65" s="511">
        <f t="shared" si="32"/>
        <v>7000</v>
      </c>
      <c r="G65" s="513">
        <f t="shared" si="4"/>
        <v>3.6</v>
      </c>
      <c r="H65" s="511">
        <f t="shared" si="32"/>
        <v>25000</v>
      </c>
      <c r="I65" s="511">
        <f t="shared" si="32"/>
        <v>3336000</v>
      </c>
      <c r="J65" s="225">
        <f t="shared" si="32"/>
        <v>1502000</v>
      </c>
      <c r="K65" s="226">
        <f t="shared" si="32"/>
        <v>537000</v>
      </c>
    </row>
    <row r="66" spans="1:11" ht="12.75">
      <c r="A66" s="169">
        <v>26</v>
      </c>
      <c r="B66" s="170">
        <v>2046</v>
      </c>
      <c r="C66" s="171">
        <f aca="true" t="shared" si="33" ref="C66:K66">ROUND(C30,-3)</f>
        <v>3734000</v>
      </c>
      <c r="D66" s="224">
        <f t="shared" si="6"/>
        <v>0.9</v>
      </c>
      <c r="E66" s="225">
        <f t="shared" si="33"/>
        <v>3361000</v>
      </c>
      <c r="F66" s="511">
        <f t="shared" si="33"/>
        <v>7000</v>
      </c>
      <c r="G66" s="513">
        <f t="shared" si="4"/>
        <v>3.6</v>
      </c>
      <c r="H66" s="511">
        <f t="shared" si="33"/>
        <v>25000</v>
      </c>
      <c r="I66" s="511">
        <f t="shared" si="33"/>
        <v>3336000</v>
      </c>
      <c r="J66" s="225">
        <f t="shared" si="33"/>
        <v>1458000</v>
      </c>
      <c r="K66" s="226">
        <f t="shared" si="33"/>
        <v>502000</v>
      </c>
    </row>
    <row r="67" spans="1:11" ht="12.75">
      <c r="A67" s="169">
        <v>27</v>
      </c>
      <c r="B67" s="170">
        <v>2047</v>
      </c>
      <c r="C67" s="171">
        <f aca="true" t="shared" si="34" ref="C67:K67">ROUND(C31,-3)</f>
        <v>3734000</v>
      </c>
      <c r="D67" s="224">
        <f t="shared" si="6"/>
        <v>0.9</v>
      </c>
      <c r="E67" s="225">
        <f t="shared" si="34"/>
        <v>3361000</v>
      </c>
      <c r="F67" s="511">
        <f t="shared" si="34"/>
        <v>7000</v>
      </c>
      <c r="G67" s="513">
        <f t="shared" si="4"/>
        <v>3.6</v>
      </c>
      <c r="H67" s="511">
        <f t="shared" si="34"/>
        <v>25000</v>
      </c>
      <c r="I67" s="511">
        <f t="shared" si="34"/>
        <v>3336000</v>
      </c>
      <c r="J67" s="225">
        <f t="shared" si="34"/>
        <v>1416000</v>
      </c>
      <c r="K67" s="226">
        <f t="shared" si="34"/>
        <v>469000</v>
      </c>
    </row>
    <row r="68" spans="1:11" ht="12.75">
      <c r="A68" s="169">
        <v>28</v>
      </c>
      <c r="B68" s="170">
        <v>2048</v>
      </c>
      <c r="C68" s="171">
        <f aca="true" t="shared" si="35" ref="C68:K68">ROUND(C32,-3)</f>
        <v>3734000</v>
      </c>
      <c r="D68" s="224">
        <f t="shared" si="6"/>
        <v>0.9</v>
      </c>
      <c r="E68" s="225">
        <f t="shared" si="35"/>
        <v>3361000</v>
      </c>
      <c r="F68" s="511">
        <f t="shared" si="35"/>
        <v>7000</v>
      </c>
      <c r="G68" s="513">
        <f t="shared" si="4"/>
        <v>3.6</v>
      </c>
      <c r="H68" s="511">
        <f t="shared" si="35"/>
        <v>25000</v>
      </c>
      <c r="I68" s="511">
        <f t="shared" si="35"/>
        <v>3336000</v>
      </c>
      <c r="J68" s="225">
        <f t="shared" si="35"/>
        <v>1374000</v>
      </c>
      <c r="K68" s="226">
        <f t="shared" si="35"/>
        <v>438000</v>
      </c>
    </row>
    <row r="69" spans="1:11" ht="12.75">
      <c r="A69" s="169">
        <v>29</v>
      </c>
      <c r="B69" s="170">
        <v>2049</v>
      </c>
      <c r="C69" s="171">
        <f aca="true" t="shared" si="36" ref="C69:K69">ROUND(C33,-3)</f>
        <v>3734000</v>
      </c>
      <c r="D69" s="224">
        <f t="shared" si="6"/>
        <v>0.9</v>
      </c>
      <c r="E69" s="225">
        <f t="shared" si="36"/>
        <v>3361000</v>
      </c>
      <c r="F69" s="511">
        <f t="shared" si="36"/>
        <v>7000</v>
      </c>
      <c r="G69" s="513">
        <f t="shared" si="4"/>
        <v>3.6</v>
      </c>
      <c r="H69" s="511">
        <f t="shared" si="36"/>
        <v>25000</v>
      </c>
      <c r="I69" s="511">
        <f t="shared" si="36"/>
        <v>3336000</v>
      </c>
      <c r="J69" s="225">
        <f t="shared" si="36"/>
        <v>1334000</v>
      </c>
      <c r="K69" s="226">
        <f t="shared" si="36"/>
        <v>410000</v>
      </c>
    </row>
    <row r="70" spans="1:11" ht="12.75">
      <c r="A70" s="169">
        <v>30</v>
      </c>
      <c r="B70" s="170">
        <v>2050</v>
      </c>
      <c r="C70" s="171">
        <f aca="true" t="shared" si="37" ref="C70:K70">ROUND(C34,-3)</f>
        <v>3734000</v>
      </c>
      <c r="D70" s="224">
        <f t="shared" si="6"/>
        <v>0.9</v>
      </c>
      <c r="E70" s="225">
        <f t="shared" si="37"/>
        <v>3361000</v>
      </c>
      <c r="F70" s="511">
        <f t="shared" si="37"/>
        <v>7000</v>
      </c>
      <c r="G70" s="513">
        <f t="shared" si="4"/>
        <v>3.6</v>
      </c>
      <c r="H70" s="511">
        <f t="shared" si="37"/>
        <v>25000</v>
      </c>
      <c r="I70" s="511">
        <f t="shared" si="37"/>
        <v>3336000</v>
      </c>
      <c r="J70" s="225">
        <f t="shared" si="37"/>
        <v>1295000</v>
      </c>
      <c r="K70" s="226">
        <f t="shared" si="37"/>
        <v>383000</v>
      </c>
    </row>
    <row r="71" spans="1:11" ht="13.5" thickBot="1">
      <c r="A71" s="643" t="s">
        <v>0</v>
      </c>
      <c r="B71" s="644"/>
      <c r="C71" s="194">
        <f aca="true" t="shared" si="38" ref="C71:K71">ROUND(C35,-3)</f>
        <v>112671000</v>
      </c>
      <c r="D71" s="227"/>
      <c r="E71" s="228">
        <f t="shared" si="38"/>
        <v>101404000</v>
      </c>
      <c r="F71" s="228">
        <f t="shared" si="38"/>
        <v>210000</v>
      </c>
      <c r="G71" s="228"/>
      <c r="H71" s="228">
        <f t="shared" si="38"/>
        <v>757000</v>
      </c>
      <c r="I71" s="228">
        <f t="shared" si="38"/>
        <v>100647000</v>
      </c>
      <c r="J71" s="228">
        <f t="shared" si="38"/>
        <v>62108000</v>
      </c>
      <c r="K71" s="229">
        <f t="shared" si="38"/>
        <v>36535000</v>
      </c>
    </row>
  </sheetData>
  <sheetProtection/>
  <mergeCells count="2">
    <mergeCell ref="A35:B35"/>
    <mergeCell ref="A71:B71"/>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FN74"/>
  <sheetViews>
    <sheetView zoomScale="80" zoomScaleNormal="80" zoomScaleSheetLayoutView="95" zoomScalePageLayoutView="0" workbookViewId="0" topLeftCell="A1">
      <selection activeCell="R84" sqref="R84"/>
    </sheetView>
  </sheetViews>
  <sheetFormatPr defaultColWidth="9.140625" defaultRowHeight="12.75"/>
  <cols>
    <col min="1" max="2" width="9.140625" style="133" customWidth="1"/>
    <col min="3" max="4" width="13.57421875" style="80" bestFit="1" customWidth="1"/>
    <col min="5" max="8" width="15.7109375" style="80" customWidth="1"/>
    <col min="9" max="9" width="9.140625" style="80" customWidth="1"/>
    <col min="10" max="10" width="80.7109375" style="340" customWidth="1"/>
    <col min="11" max="11" width="20.7109375" style="340" customWidth="1"/>
    <col min="12" max="13" width="9.140625" style="340" customWidth="1"/>
    <col min="14" max="16384" width="9.140625" style="80" customWidth="1"/>
  </cols>
  <sheetData>
    <row r="1" spans="1:8" ht="12">
      <c r="A1" s="664" t="s">
        <v>63</v>
      </c>
      <c r="B1" s="665"/>
      <c r="C1" s="665"/>
      <c r="D1" s="665"/>
      <c r="E1" s="665"/>
      <c r="F1" s="665"/>
      <c r="G1" s="665"/>
      <c r="H1" s="666"/>
    </row>
    <row r="2" spans="1:8" s="159" customFormat="1" ht="36">
      <c r="A2" s="587" t="s">
        <v>89</v>
      </c>
      <c r="B2" s="589"/>
      <c r="C2" s="162" t="s">
        <v>237</v>
      </c>
      <c r="D2" s="162" t="s">
        <v>255</v>
      </c>
      <c r="E2" s="162" t="s">
        <v>62</v>
      </c>
      <c r="F2" s="162" t="s">
        <v>143</v>
      </c>
      <c r="G2" s="162" t="s">
        <v>298</v>
      </c>
      <c r="H2" s="163" t="s">
        <v>299</v>
      </c>
    </row>
    <row r="3" spans="1:8" s="233" customFormat="1" ht="24">
      <c r="A3" s="587" t="s">
        <v>64</v>
      </c>
      <c r="B3" s="230" t="s">
        <v>88</v>
      </c>
      <c r="C3" s="230">
        <f>K51</f>
        <v>38</v>
      </c>
      <c r="D3" s="230">
        <f>K43</f>
        <v>40</v>
      </c>
      <c r="E3" s="231">
        <f>K64</f>
        <v>75</v>
      </c>
      <c r="F3" s="231" t="s">
        <v>74</v>
      </c>
      <c r="G3" s="231" t="s">
        <v>74</v>
      </c>
      <c r="H3" s="232" t="s">
        <v>74</v>
      </c>
    </row>
    <row r="4" spans="1:8" s="159" customFormat="1" ht="12.75" thickBot="1">
      <c r="A4" s="587"/>
      <c r="B4" s="162" t="s">
        <v>1</v>
      </c>
      <c r="C4" s="661"/>
      <c r="D4" s="662"/>
      <c r="E4" s="662"/>
      <c r="F4" s="662"/>
      <c r="G4" s="662"/>
      <c r="H4" s="663"/>
    </row>
    <row r="5" spans="1:13" ht="12" hidden="1">
      <c r="A5" s="169">
        <v>-2</v>
      </c>
      <c r="B5" s="170">
        <v>2018</v>
      </c>
      <c r="C5" s="234">
        <f>'Cost Estimates'!F39</f>
        <v>5338550</v>
      </c>
      <c r="D5" s="234">
        <f>'Cost Estimates'!F30</f>
        <v>9725000</v>
      </c>
      <c r="E5" s="235">
        <f>'Cost Estimates'!F20</f>
        <v>8957000</v>
      </c>
      <c r="F5" s="234">
        <f>SUM(C5:E5)</f>
        <v>24020550</v>
      </c>
      <c r="G5" s="234">
        <f>F5/((1+Inputs!$B$6)^(B5-Inputs!$B$10))</f>
        <v>24020550</v>
      </c>
      <c r="H5" s="236">
        <f>F5/((1+Inputs!$B$5)^(B5-Inputs!$B$10))</f>
        <v>24020550</v>
      </c>
      <c r="L5" s="80"/>
      <c r="M5" s="80"/>
    </row>
    <row r="6" spans="1:13" ht="12" hidden="1">
      <c r="A6" s="169">
        <v>-1</v>
      </c>
      <c r="B6" s="170">
        <v>2019</v>
      </c>
      <c r="C6" s="483">
        <f>(($C$3-A6)/$C$3)*$C$5</f>
        <v>5479038.157894737</v>
      </c>
      <c r="D6" s="483">
        <f>(($D$3-A6)/$D$3)*$D$5</f>
        <v>9968125</v>
      </c>
      <c r="E6" s="483">
        <f>(($E$3-A6)/$E$3)*$E$5</f>
        <v>9076426.666666668</v>
      </c>
      <c r="F6" s="234">
        <f>SUM(C6:E6)</f>
        <v>24523589.824561406</v>
      </c>
      <c r="G6" s="234">
        <f>F6/((1+Inputs!$B$6)^(B6-Inputs!$B$10))</f>
        <v>23809310.509282917</v>
      </c>
      <c r="H6" s="236">
        <f>F6/((1+Inputs!$B$5)^(B6-Inputs!$B$10))</f>
        <v>22919242.8266929</v>
      </c>
      <c r="L6" s="80"/>
      <c r="M6" s="80"/>
    </row>
    <row r="7" spans="1:13" ht="12" hidden="1">
      <c r="A7" s="169">
        <v>0</v>
      </c>
      <c r="B7" s="170">
        <v>2020</v>
      </c>
      <c r="C7" s="234">
        <f aca="true" t="shared" si="0" ref="C7:C37">(($C$3-A7)/$C$3)*$C$5</f>
        <v>5338550</v>
      </c>
      <c r="D7" s="234">
        <f aca="true" t="shared" si="1" ref="D7:D37">(($D$3-A7)/$D$3)*$D$5</f>
        <v>9725000</v>
      </c>
      <c r="E7" s="234">
        <f aca="true" t="shared" si="2" ref="E7:E37">(($E$3-A7)/$E$3)*$E$5</f>
        <v>8957000</v>
      </c>
      <c r="F7" s="234">
        <f aca="true" t="shared" si="3" ref="F7:F37">SUM(C7:E7)</f>
        <v>24020550</v>
      </c>
      <c r="G7" s="234">
        <f>F7/((1+Inputs!$B$6)^(B7-Inputs!$B$10))</f>
        <v>22641672.165142804</v>
      </c>
      <c r="H7" s="236">
        <f>F7/((1+Inputs!$B$5)^(B7-Inputs!$B$10))</f>
        <v>20980478.644423094</v>
      </c>
      <c r="L7" s="80"/>
      <c r="M7" s="80"/>
    </row>
    <row r="8" spans="1:13" ht="12" hidden="1">
      <c r="A8" s="169">
        <v>1</v>
      </c>
      <c r="B8" s="170">
        <v>2021</v>
      </c>
      <c r="C8" s="234">
        <f t="shared" si="0"/>
        <v>5198061.842105263</v>
      </c>
      <c r="D8" s="234">
        <f t="shared" si="1"/>
        <v>9481875</v>
      </c>
      <c r="E8" s="234">
        <f t="shared" si="2"/>
        <v>8837573.333333334</v>
      </c>
      <c r="F8" s="234">
        <f t="shared" si="3"/>
        <v>23517510.175438598</v>
      </c>
      <c r="G8" s="234">
        <f>F8/((1+Inputs!$B$6)^(B8-Inputs!$B$10))</f>
        <v>21521853.285805695</v>
      </c>
      <c r="H8" s="236">
        <f>F8/((1+Inputs!$B$5)^(B8-Inputs!$B$10))</f>
        <v>19197293.625969533</v>
      </c>
      <c r="L8" s="80"/>
      <c r="M8" s="80"/>
    </row>
    <row r="9" spans="1:13" ht="12" hidden="1">
      <c r="A9" s="169">
        <v>2</v>
      </c>
      <c r="B9" s="170">
        <v>2022</v>
      </c>
      <c r="C9" s="234">
        <f t="shared" si="0"/>
        <v>5057573.684210526</v>
      </c>
      <c r="D9" s="234">
        <f t="shared" si="1"/>
        <v>9238750</v>
      </c>
      <c r="E9" s="234">
        <f t="shared" si="2"/>
        <v>8718146.666666668</v>
      </c>
      <c r="F9" s="234">
        <f t="shared" si="3"/>
        <v>23014470.350877196</v>
      </c>
      <c r="G9" s="234">
        <f>F9/((1+Inputs!$B$6)^(B9-Inputs!$B$10))</f>
        <v>20448058.82139403</v>
      </c>
      <c r="H9" s="236">
        <f>F9/((1+Inputs!$B$5)^(B9-Inputs!$B$10))</f>
        <v>17557629.23849394</v>
      </c>
      <c r="L9" s="80"/>
      <c r="M9" s="80"/>
    </row>
    <row r="10" spans="1:13" ht="12" hidden="1">
      <c r="A10" s="169">
        <v>3</v>
      </c>
      <c r="B10" s="170">
        <v>2023</v>
      </c>
      <c r="C10" s="234">
        <f t="shared" si="0"/>
        <v>4917085.52631579</v>
      </c>
      <c r="D10" s="234">
        <f t="shared" si="1"/>
        <v>8995625</v>
      </c>
      <c r="E10" s="234">
        <f t="shared" si="2"/>
        <v>8598720</v>
      </c>
      <c r="F10" s="234">
        <f t="shared" si="3"/>
        <v>22511430.52631579</v>
      </c>
      <c r="G10" s="234">
        <f>F10/((1+Inputs!$B$6)^(B10-Inputs!$B$10))</f>
        <v>19418557.721053828</v>
      </c>
      <c r="H10" s="236">
        <f>F10/((1+Inputs!$B$5)^(B10-Inputs!$B$10))</f>
        <v>16050338.84566992</v>
      </c>
      <c r="L10" s="80"/>
      <c r="M10" s="80"/>
    </row>
    <row r="11" spans="1:13" ht="12" hidden="1">
      <c r="A11" s="169">
        <v>4</v>
      </c>
      <c r="B11" s="170">
        <v>2024</v>
      </c>
      <c r="C11" s="234">
        <f t="shared" si="0"/>
        <v>4776597.368421053</v>
      </c>
      <c r="D11" s="234">
        <f t="shared" si="1"/>
        <v>8752500</v>
      </c>
      <c r="E11" s="234">
        <f t="shared" si="2"/>
        <v>8479293.333333334</v>
      </c>
      <c r="F11" s="234">
        <f t="shared" si="3"/>
        <v>22008390.701754384</v>
      </c>
      <c r="G11" s="234">
        <f>F11/((1+Inputs!$B$6)^(B11-Inputs!$B$10))</f>
        <v>18431680.72766222</v>
      </c>
      <c r="H11" s="236">
        <f>F11/((1+Inputs!$B$5)^(B11-Inputs!$B$10))</f>
        <v>14665120.002829673</v>
      </c>
      <c r="L11" s="80"/>
      <c r="M11" s="80"/>
    </row>
    <row r="12" spans="1:13" ht="12" hidden="1">
      <c r="A12" s="169">
        <v>5</v>
      </c>
      <c r="B12" s="170">
        <v>2025</v>
      </c>
      <c r="C12" s="234">
        <f t="shared" si="0"/>
        <v>4636109.210526316</v>
      </c>
      <c r="D12" s="234">
        <f t="shared" si="1"/>
        <v>8509375</v>
      </c>
      <c r="E12" s="234">
        <f t="shared" si="2"/>
        <v>8359866.666666667</v>
      </c>
      <c r="F12" s="234">
        <f t="shared" si="3"/>
        <v>21505350.877192985</v>
      </c>
      <c r="G12" s="234">
        <f>F12/((1+Inputs!$B$6)^(B12-Inputs!$B$10))</f>
        <v>17485818.246705964</v>
      </c>
      <c r="H12" s="236">
        <f>F12/((1+Inputs!$B$5)^(B12-Inputs!$B$10))</f>
        <v>13392451.707909497</v>
      </c>
      <c r="L12" s="80"/>
      <c r="M12" s="80"/>
    </row>
    <row r="13" spans="1:13" ht="12" hidden="1">
      <c r="A13" s="169">
        <v>6</v>
      </c>
      <c r="B13" s="170">
        <v>2026</v>
      </c>
      <c r="C13" s="234">
        <f t="shared" si="0"/>
        <v>4495621.052631578</v>
      </c>
      <c r="D13" s="234">
        <f t="shared" si="1"/>
        <v>8266250</v>
      </c>
      <c r="E13" s="234">
        <f t="shared" si="2"/>
        <v>8240440</v>
      </c>
      <c r="F13" s="234">
        <f t="shared" si="3"/>
        <v>21002311.05263158</v>
      </c>
      <c r="G13" s="234">
        <f>F13/((1+Inputs!$B$6)^(B13-Inputs!$B$10))</f>
        <v>16579418.286881005</v>
      </c>
      <c r="H13" s="236">
        <f>F13/((1+Inputs!$B$5)^(B13-Inputs!$B$10))</f>
        <v>12223536.249538515</v>
      </c>
      <c r="L13" s="80"/>
      <c r="M13" s="80"/>
    </row>
    <row r="14" spans="1:13" ht="12" hidden="1">
      <c r="A14" s="169">
        <v>7</v>
      </c>
      <c r="B14" s="170">
        <v>2027</v>
      </c>
      <c r="C14" s="234">
        <f t="shared" si="0"/>
        <v>4355132.894736842</v>
      </c>
      <c r="D14" s="234">
        <f t="shared" si="1"/>
        <v>8023125</v>
      </c>
      <c r="E14" s="234">
        <f t="shared" si="2"/>
        <v>8121013.333333333</v>
      </c>
      <c r="F14" s="234">
        <f t="shared" si="3"/>
        <v>20499271.228070173</v>
      </c>
      <c r="G14" s="234">
        <f>F14/((1+Inputs!$B$6)^(B14-Inputs!$B$10))</f>
        <v>15710984.470043272</v>
      </c>
      <c r="H14" s="236">
        <f>F14/((1+Inputs!$B$5)^(B14-Inputs!$B$10))</f>
        <v>11150245.319331754</v>
      </c>
      <c r="L14" s="80"/>
      <c r="M14" s="80"/>
    </row>
    <row r="15" spans="1:13" ht="12" hidden="1">
      <c r="A15" s="169">
        <v>8</v>
      </c>
      <c r="B15" s="170">
        <v>2028</v>
      </c>
      <c r="C15" s="234">
        <f t="shared" si="0"/>
        <v>4214644.736842105</v>
      </c>
      <c r="D15" s="234">
        <f t="shared" si="1"/>
        <v>7780000</v>
      </c>
      <c r="E15" s="234">
        <f t="shared" si="2"/>
        <v>8001586.666666666</v>
      </c>
      <c r="F15" s="234">
        <f t="shared" si="3"/>
        <v>19996231.40350877</v>
      </c>
      <c r="G15" s="234">
        <f>F15/((1+Inputs!$B$6)^(B15-Inputs!$B$10))</f>
        <v>14879074.108217679</v>
      </c>
      <c r="H15" s="236">
        <f>F15/((1+Inputs!$B$5)^(B15-Inputs!$B$10))</f>
        <v>10165070.079335699</v>
      </c>
      <c r="L15" s="80"/>
      <c r="M15" s="80"/>
    </row>
    <row r="16" spans="1:13" ht="12" hidden="1">
      <c r="A16" s="169">
        <v>9</v>
      </c>
      <c r="B16" s="170">
        <v>2029</v>
      </c>
      <c r="C16" s="234">
        <f t="shared" si="0"/>
        <v>4074156.5789473685</v>
      </c>
      <c r="D16" s="234">
        <f t="shared" si="1"/>
        <v>7536875</v>
      </c>
      <c r="E16" s="234">
        <f t="shared" si="2"/>
        <v>7882160</v>
      </c>
      <c r="F16" s="234">
        <f t="shared" si="3"/>
        <v>19493191.57894737</v>
      </c>
      <c r="G16" s="234">
        <f>F16/((1+Inputs!$B$6)^(B16-Inputs!$B$10))</f>
        <v>14082296.3454474</v>
      </c>
      <c r="H16" s="236">
        <f>F16/((1+Inputs!$B$5)^(B16-Inputs!$B$10))</f>
        <v>9261074.897761062</v>
      </c>
      <c r="L16" s="80"/>
      <c r="M16" s="80"/>
    </row>
    <row r="17" spans="1:170" ht="12" hidden="1">
      <c r="A17" s="169">
        <v>10</v>
      </c>
      <c r="B17" s="170">
        <v>2030</v>
      </c>
      <c r="C17" s="234">
        <f t="shared" si="0"/>
        <v>3933668.4210526315</v>
      </c>
      <c r="D17" s="234">
        <f t="shared" si="1"/>
        <v>7293750</v>
      </c>
      <c r="E17" s="234">
        <f t="shared" si="2"/>
        <v>7762733.333333334</v>
      </c>
      <c r="F17" s="234">
        <f t="shared" si="3"/>
        <v>18990151.754385963</v>
      </c>
      <c r="G17" s="234">
        <f>F17/((1+Inputs!$B$6)^(B17-Inputs!$B$10))</f>
        <v>13319310.362337606</v>
      </c>
      <c r="H17" s="236">
        <f>F17/((1+Inputs!$B$5)^(B17-Inputs!$B$10))</f>
        <v>8431854.486743798</v>
      </c>
      <c r="L17" s="80"/>
      <c r="M17" s="80"/>
    </row>
    <row r="18" spans="1:170" ht="12" hidden="1">
      <c r="A18" s="169">
        <v>11</v>
      </c>
      <c r="B18" s="170">
        <v>2031</v>
      </c>
      <c r="C18" s="234">
        <f t="shared" si="0"/>
        <v>3793180.263157895</v>
      </c>
      <c r="D18" s="234">
        <f t="shared" si="1"/>
        <v>7050625</v>
      </c>
      <c r="E18" s="234">
        <f t="shared" si="2"/>
        <v>7643306.666666667</v>
      </c>
      <c r="F18" s="234">
        <f t="shared" si="3"/>
        <v>18487111.92982456</v>
      </c>
      <c r="G18" s="234">
        <f>F18/((1+Inputs!$B$6)^(B18-Inputs!$B$10))</f>
        <v>12588823.6412179</v>
      </c>
      <c r="H18" s="236">
        <f>F18/((1+Inputs!$B$5)^(B18-Inputs!$B$10))</f>
        <v>7671494.1950132465</v>
      </c>
      <c r="L18" s="80"/>
      <c r="M18" s="80"/>
    </row>
    <row r="19" spans="1:13" ht="12" hidden="1">
      <c r="A19" s="169">
        <v>12</v>
      </c>
      <c r="B19" s="170">
        <v>2032</v>
      </c>
      <c r="C19" s="234">
        <f t="shared" si="0"/>
        <v>3652692.105263158</v>
      </c>
      <c r="D19" s="234">
        <f t="shared" si="1"/>
        <v>6807500</v>
      </c>
      <c r="E19" s="234">
        <f t="shared" si="2"/>
        <v>7523880</v>
      </c>
      <c r="F19" s="234">
        <f t="shared" si="3"/>
        <v>17984072.10526316</v>
      </c>
      <c r="G19" s="234">
        <f>F19/((1+Inputs!$B$6)^(B19-Inputs!$B$10))</f>
        <v>11889590.289915416</v>
      </c>
      <c r="H19" s="236">
        <f>F19/((1+Inputs!$B$5)^(B19-Inputs!$B$10))</f>
        <v>6974533.226119792</v>
      </c>
      <c r="L19" s="80"/>
      <c r="M19" s="80"/>
    </row>
    <row r="20" spans="1:170" ht="12" hidden="1">
      <c r="A20" s="169">
        <v>13</v>
      </c>
      <c r="B20" s="170">
        <v>2033</v>
      </c>
      <c r="C20" s="234">
        <f t="shared" si="0"/>
        <v>3512203.947368421</v>
      </c>
      <c r="D20" s="234">
        <f t="shared" si="1"/>
        <v>6564375</v>
      </c>
      <c r="E20" s="234">
        <f t="shared" si="2"/>
        <v>7404453.333333333</v>
      </c>
      <c r="F20" s="234">
        <f t="shared" si="3"/>
        <v>17481032.280701753</v>
      </c>
      <c r="G20" s="234">
        <f>F20/((1+Inputs!$B$6)^(B20-Inputs!$B$10))</f>
        <v>11220409.422196113</v>
      </c>
      <c r="H20" s="236">
        <f>F20/((1+Inputs!$B$5)^(B20-Inputs!$B$10))</f>
        <v>6335930.569379951</v>
      </c>
      <c r="L20" s="80"/>
      <c r="M20" s="80"/>
    </row>
    <row r="21" spans="1:13" ht="12" hidden="1">
      <c r="A21" s="169">
        <v>14</v>
      </c>
      <c r="B21" s="170">
        <v>2034</v>
      </c>
      <c r="C21" s="234">
        <f t="shared" si="0"/>
        <v>3371715.789473684</v>
      </c>
      <c r="D21" s="234">
        <f t="shared" si="1"/>
        <v>6321250</v>
      </c>
      <c r="E21" s="234">
        <f t="shared" si="2"/>
        <v>7285026.666666667</v>
      </c>
      <c r="F21" s="234">
        <f t="shared" si="3"/>
        <v>16977992.45614035</v>
      </c>
      <c r="G21" s="234">
        <f>F21/((1+Inputs!$B$6)^(B21-Inputs!$B$10))</f>
        <v>10580123.592995174</v>
      </c>
      <c r="H21" s="236">
        <f>F21/((1+Inputs!$B$5)^(B21-Inputs!$B$10))</f>
        <v>5751033.446024374</v>
      </c>
      <c r="L21" s="80"/>
      <c r="M21" s="80"/>
    </row>
    <row r="22" spans="1:13" ht="12" hidden="1">
      <c r="A22" s="169">
        <v>15</v>
      </c>
      <c r="B22" s="170">
        <v>2035</v>
      </c>
      <c r="C22" s="234">
        <f t="shared" si="0"/>
        <v>3231227.6315789474</v>
      </c>
      <c r="D22" s="234">
        <f t="shared" si="1"/>
        <v>6078125</v>
      </c>
      <c r="E22" s="234">
        <f t="shared" si="2"/>
        <v>7165600</v>
      </c>
      <c r="F22" s="234">
        <f t="shared" si="3"/>
        <v>16474952.631578948</v>
      </c>
      <c r="G22" s="234">
        <f>F22/((1+Inputs!$B$6)^(B22-Inputs!$B$10))</f>
        <v>9967617.286618857</v>
      </c>
      <c r="H22" s="236">
        <f>F22/((1+Inputs!$B$5)^(B22-Inputs!$B$10))</f>
        <v>5215548.087267193</v>
      </c>
      <c r="L22" s="80"/>
      <c r="M22" s="80"/>
    </row>
    <row r="23" spans="1:13" ht="12" hidden="1">
      <c r="A23" s="169">
        <v>16</v>
      </c>
      <c r="B23" s="170">
        <v>2036</v>
      </c>
      <c r="C23" s="234">
        <f t="shared" si="0"/>
        <v>3090739.473684211</v>
      </c>
      <c r="D23" s="234">
        <f t="shared" si="1"/>
        <v>5835000</v>
      </c>
      <c r="E23" s="234">
        <f t="shared" si="2"/>
        <v>7046173.333333333</v>
      </c>
      <c r="F23" s="234">
        <f t="shared" si="3"/>
        <v>15971912.807017542</v>
      </c>
      <c r="G23" s="234">
        <f>F23/((1+Inputs!$B$6)^(B23-Inputs!$B$10))</f>
        <v>9381815.45615955</v>
      </c>
      <c r="H23" s="236">
        <f>F23/((1+Inputs!$B$5)^(B23-Inputs!$B$10))</f>
        <v>4725512.674231302</v>
      </c>
      <c r="L23" s="80"/>
      <c r="M23" s="80"/>
    </row>
    <row r="24" spans="1:13" ht="12" hidden="1">
      <c r="A24" s="169">
        <v>17</v>
      </c>
      <c r="B24" s="170">
        <v>2037</v>
      </c>
      <c r="C24" s="234">
        <f t="shared" si="0"/>
        <v>2950251.315789474</v>
      </c>
      <c r="D24" s="234">
        <f t="shared" si="1"/>
        <v>5591875</v>
      </c>
      <c r="E24" s="234">
        <f t="shared" si="2"/>
        <v>6926746.666666667</v>
      </c>
      <c r="F24" s="234">
        <f t="shared" si="3"/>
        <v>15468872.98245614</v>
      </c>
      <c r="G24" s="234">
        <f>F24/((1+Inputs!$B$6)^(B24-Inputs!$B$10))</f>
        <v>8821682.112423245</v>
      </c>
      <c r="H24" s="236">
        <f>F24/((1+Inputs!$B$5)^(B24-Inputs!$B$10))</f>
        <v>4277272.28193536</v>
      </c>
      <c r="L24" s="80"/>
      <c r="M24" s="80"/>
    </row>
    <row r="25" spans="1:13" ht="12" hidden="1">
      <c r="A25" s="169">
        <v>18</v>
      </c>
      <c r="B25" s="170">
        <v>2038</v>
      </c>
      <c r="C25" s="234">
        <f t="shared" si="0"/>
        <v>2809763.1578947366</v>
      </c>
      <c r="D25" s="234">
        <f t="shared" si="1"/>
        <v>5348750</v>
      </c>
      <c r="E25" s="234">
        <f t="shared" si="2"/>
        <v>6807320</v>
      </c>
      <c r="F25" s="234">
        <f t="shared" si="3"/>
        <v>14965833.157894736</v>
      </c>
      <c r="G25" s="234">
        <f>F25/((1+Inputs!$B$6)^(B25-Inputs!$B$10))</f>
        <v>8286218.960724227</v>
      </c>
      <c r="H25" s="236">
        <f>F25/((1+Inputs!$B$5)^(B25-Inputs!$B$10))</f>
        <v>3867455.6809418895</v>
      </c>
      <c r="L25" s="80"/>
      <c r="M25" s="80"/>
    </row>
    <row r="26" spans="1:13" ht="12" hidden="1">
      <c r="A26" s="169">
        <v>19</v>
      </c>
      <c r="B26" s="170">
        <v>2039</v>
      </c>
      <c r="C26" s="234">
        <f t="shared" si="0"/>
        <v>2669275</v>
      </c>
      <c r="D26" s="234">
        <f t="shared" si="1"/>
        <v>5105625</v>
      </c>
      <c r="E26" s="234">
        <f t="shared" si="2"/>
        <v>6687893.333333334</v>
      </c>
      <c r="F26" s="234">
        <f t="shared" si="3"/>
        <v>14462793.333333334</v>
      </c>
      <c r="G26" s="234">
        <f>F26/((1+Inputs!$B$6)^(B26-Inputs!$B$10))</f>
        <v>7774464.083955759</v>
      </c>
      <c r="H26" s="236">
        <f>F26/((1+Inputs!$B$5)^(B26-Inputs!$B$10))</f>
        <v>3492953.860843989</v>
      </c>
      <c r="L26" s="80"/>
      <c r="M26" s="80"/>
    </row>
    <row r="27" spans="1:13" ht="12" hidden="1">
      <c r="A27" s="169">
        <v>20</v>
      </c>
      <c r="B27" s="170">
        <v>2040</v>
      </c>
      <c r="C27" s="234">
        <f t="shared" si="0"/>
        <v>2528786.842105263</v>
      </c>
      <c r="D27" s="234">
        <f t="shared" si="1"/>
        <v>4862500</v>
      </c>
      <c r="E27" s="234">
        <f t="shared" si="2"/>
        <v>6568466.666666666</v>
      </c>
      <c r="F27" s="234">
        <f t="shared" si="3"/>
        <v>13959753.50877193</v>
      </c>
      <c r="G27" s="234">
        <f>F27/((1+Inputs!$B$6)^(B27-Inputs!$B$10))</f>
        <v>7285490.670397431</v>
      </c>
      <c r="H27" s="236">
        <f>F27/((1+Inputs!$B$5)^(B27-Inputs!$B$10))</f>
        <v>3150900.1495888256</v>
      </c>
      <c r="L27" s="80"/>
      <c r="M27" s="80"/>
    </row>
    <row r="28" spans="1:13" ht="12" hidden="1">
      <c r="A28" s="169">
        <v>21</v>
      </c>
      <c r="B28" s="170">
        <v>2041</v>
      </c>
      <c r="C28" s="234">
        <f t="shared" si="0"/>
        <v>2388298.6842105263</v>
      </c>
      <c r="D28" s="234">
        <f t="shared" si="1"/>
        <v>4619375</v>
      </c>
      <c r="E28" s="234">
        <f t="shared" si="2"/>
        <v>6449040</v>
      </c>
      <c r="F28" s="234">
        <f t="shared" si="3"/>
        <v>13456713.684210526</v>
      </c>
      <c r="G28" s="234">
        <f>F28/((1+Inputs!$B$6)^(B28-Inputs!$B$10))</f>
        <v>6818405.784770429</v>
      </c>
      <c r="H28" s="236">
        <f>F28/((1+Inputs!$B$5)^(B28-Inputs!$B$10))</f>
        <v>2838651.8117530774</v>
      </c>
      <c r="L28" s="80"/>
      <c r="M28" s="80"/>
    </row>
    <row r="29" spans="1:13" ht="12" hidden="1">
      <c r="A29" s="169">
        <v>22</v>
      </c>
      <c r="B29" s="170">
        <v>2042</v>
      </c>
      <c r="C29" s="234">
        <f t="shared" si="0"/>
        <v>2247810.526315789</v>
      </c>
      <c r="D29" s="234">
        <f t="shared" si="1"/>
        <v>4376250</v>
      </c>
      <c r="E29" s="234">
        <f t="shared" si="2"/>
        <v>6329613.333333333</v>
      </c>
      <c r="F29" s="234">
        <f t="shared" si="3"/>
        <v>12953673.859649122</v>
      </c>
      <c r="G29" s="234">
        <f>F29/((1+Inputs!$B$6)^(B29-Inputs!$B$10))</f>
        <v>6372349.1811006265</v>
      </c>
      <c r="H29" s="236">
        <f>F29/((1+Inputs!$B$5)^(B29-Inputs!$B$10))</f>
        <v>2553773.0173489037</v>
      </c>
      <c r="L29" s="80"/>
      <c r="M29" s="80"/>
    </row>
    <row r="30" spans="1:13" ht="12" hidden="1">
      <c r="A30" s="169">
        <v>23</v>
      </c>
      <c r="B30" s="170">
        <v>2043</v>
      </c>
      <c r="C30" s="234">
        <f t="shared" si="0"/>
        <v>2107322.3684210526</v>
      </c>
      <c r="D30" s="234">
        <f t="shared" si="1"/>
        <v>4133125</v>
      </c>
      <c r="E30" s="234">
        <f t="shared" si="2"/>
        <v>6210186.666666667</v>
      </c>
      <c r="F30" s="234">
        <f t="shared" si="3"/>
        <v>12450634.03508772</v>
      </c>
      <c r="G30" s="234">
        <f>F30/((1+Inputs!$B$6)^(B30-Inputs!$B$10))</f>
        <v>5946492.155996665</v>
      </c>
      <c r="H30" s="236">
        <f>F30/((1+Inputs!$B$5)^(B30-Inputs!$B$10))</f>
        <v>2294019.0805953154</v>
      </c>
      <c r="L30" s="80"/>
      <c r="M30" s="80"/>
    </row>
    <row r="31" spans="1:13" ht="12" hidden="1">
      <c r="A31" s="169">
        <v>24</v>
      </c>
      <c r="B31" s="170">
        <v>2044</v>
      </c>
      <c r="C31" s="234">
        <f t="shared" si="0"/>
        <v>1966834.2105263157</v>
      </c>
      <c r="D31" s="234">
        <f t="shared" si="1"/>
        <v>3890000</v>
      </c>
      <c r="E31" s="234">
        <f t="shared" si="2"/>
        <v>6090760</v>
      </c>
      <c r="F31" s="234">
        <f t="shared" si="3"/>
        <v>11947594.210526315</v>
      </c>
      <c r="G31" s="234">
        <f>F31/((1+Inputs!$B$6)^(B31-Inputs!$B$10))</f>
        <v>5540036.440995853</v>
      </c>
      <c r="H31" s="236">
        <f>F31/((1+Inputs!$B$5)^(B31-Inputs!$B$10))</f>
        <v>2057321.8753821917</v>
      </c>
      <c r="L31" s="80"/>
      <c r="M31" s="80"/>
    </row>
    <row r="32" spans="1:13" ht="12" hidden="1">
      <c r="A32" s="169">
        <v>25</v>
      </c>
      <c r="B32" s="170">
        <v>2045</v>
      </c>
      <c r="C32" s="234">
        <f t="shared" si="0"/>
        <v>1826346.052631579</v>
      </c>
      <c r="D32" s="234">
        <f t="shared" si="1"/>
        <v>3646875</v>
      </c>
      <c r="E32" s="234">
        <f t="shared" si="2"/>
        <v>5971333.333333333</v>
      </c>
      <c r="F32" s="234">
        <f t="shared" si="3"/>
        <v>11444554.385964911</v>
      </c>
      <c r="G32" s="234">
        <f>F32/((1+Inputs!$B$6)^(B32-Inputs!$B$10))</f>
        <v>5152213.132674894</v>
      </c>
      <c r="H32" s="236">
        <f>F32/((1+Inputs!$B$5)^(B32-Inputs!$B$10))</f>
        <v>1841776.340922853</v>
      </c>
      <c r="L32" s="80"/>
      <c r="M32" s="80"/>
    </row>
    <row r="33" spans="1:13" ht="12" hidden="1">
      <c r="A33" s="169">
        <v>26</v>
      </c>
      <c r="B33" s="170">
        <v>2046</v>
      </c>
      <c r="C33" s="234">
        <f t="shared" si="0"/>
        <v>1685857.894736842</v>
      </c>
      <c r="D33" s="234">
        <f t="shared" si="1"/>
        <v>3403750</v>
      </c>
      <c r="E33" s="234">
        <f t="shared" si="2"/>
        <v>5851906.666666667</v>
      </c>
      <c r="F33" s="234">
        <f t="shared" si="3"/>
        <v>10941514.56140351</v>
      </c>
      <c r="G33" s="234">
        <f>F33/((1+Inputs!$B$6)^(B33-Inputs!$B$10))</f>
        <v>4782281.659265179</v>
      </c>
      <c r="H33" s="236">
        <f>F33/((1+Inputs!$B$5)^(B33-Inputs!$B$10))</f>
        <v>1645627.9973733204</v>
      </c>
      <c r="L33" s="80"/>
      <c r="M33" s="80"/>
    </row>
    <row r="34" spans="1:13" ht="12" hidden="1">
      <c r="A34" s="169">
        <v>27</v>
      </c>
      <c r="B34" s="170">
        <v>2047</v>
      </c>
      <c r="C34" s="234">
        <f t="shared" si="0"/>
        <v>1545369.7368421054</v>
      </c>
      <c r="D34" s="234">
        <f t="shared" si="1"/>
        <v>3160625</v>
      </c>
      <c r="E34" s="234">
        <f t="shared" si="2"/>
        <v>5732480</v>
      </c>
      <c r="F34" s="234">
        <f t="shared" si="3"/>
        <v>10438474.736842105</v>
      </c>
      <c r="G34" s="234">
        <f>F34/((1+Inputs!$B$6)^(B34-Inputs!$B$10))</f>
        <v>4429528.782553845</v>
      </c>
      <c r="H34" s="236">
        <f>F34/((1+Inputs!$B$5)^(B34-Inputs!$B$10))</f>
        <v>1467261.3970268602</v>
      </c>
      <c r="L34" s="80"/>
      <c r="M34" s="80"/>
    </row>
    <row r="35" spans="1:13" ht="12" hidden="1">
      <c r="A35" s="169">
        <v>28</v>
      </c>
      <c r="B35" s="170">
        <v>2048</v>
      </c>
      <c r="C35" s="234">
        <f t="shared" si="0"/>
        <v>1404881.5789473683</v>
      </c>
      <c r="D35" s="234">
        <f t="shared" si="1"/>
        <v>2917500</v>
      </c>
      <c r="E35" s="234">
        <f t="shared" si="2"/>
        <v>5613053.333333334</v>
      </c>
      <c r="F35" s="234">
        <f t="shared" si="3"/>
        <v>9935434.912280701</v>
      </c>
      <c r="G35" s="234">
        <f>F35/((1+Inputs!$B$6)^(B35-Inputs!$B$10))</f>
        <v>4093267.6338917348</v>
      </c>
      <c r="H35" s="236">
        <f>F35/((1+Inputs!$B$5)^(B35-Inputs!$B$10))</f>
        <v>1305189.4421033806</v>
      </c>
      <c r="L35" s="80"/>
      <c r="M35" s="80"/>
    </row>
    <row r="36" spans="1:13" ht="12.75" hidden="1" thickBot="1">
      <c r="A36" s="474">
        <v>29</v>
      </c>
      <c r="B36" s="475">
        <v>2049</v>
      </c>
      <c r="C36" s="477">
        <f t="shared" si="0"/>
        <v>1264393.4210526315</v>
      </c>
      <c r="D36" s="477">
        <f t="shared" si="1"/>
        <v>2674375</v>
      </c>
      <c r="E36" s="477">
        <f t="shared" si="2"/>
        <v>5493626.666666666</v>
      </c>
      <c r="F36" s="477">
        <f t="shared" si="3"/>
        <v>9432395.087719297</v>
      </c>
      <c r="G36" s="477">
        <f>F36/((1+Inputs!$B$6)^(B36-Inputs!$B$10))</f>
        <v>3772836.7831681855</v>
      </c>
      <c r="H36" s="478">
        <f>F36/((1+Inputs!$B$5)^(B36-Inputs!$B$10))</f>
        <v>1158043.5051745777</v>
      </c>
      <c r="L36" s="80"/>
      <c r="M36" s="80"/>
    </row>
    <row r="37" spans="1:11" s="237" customFormat="1" ht="12.75" thickBot="1">
      <c r="A37" s="479">
        <v>30</v>
      </c>
      <c r="B37" s="480">
        <v>2050</v>
      </c>
      <c r="C37" s="481">
        <f t="shared" si="0"/>
        <v>1123905.2631578946</v>
      </c>
      <c r="D37" s="481">
        <f t="shared" si="1"/>
        <v>2431250</v>
      </c>
      <c r="E37" s="481">
        <f t="shared" si="2"/>
        <v>5374200</v>
      </c>
      <c r="F37" s="481">
        <f t="shared" si="3"/>
        <v>8929355.263157895</v>
      </c>
      <c r="G37" s="481">
        <f>F37/((1+Inputs!$B$6)^(B37-Inputs!$B$10))</f>
        <v>3467599.339650042</v>
      </c>
      <c r="H37" s="482">
        <f>F37/((1+Inputs!$B$5)^(B37-Inputs!$B$10))</f>
        <v>1024564.2929253351</v>
      </c>
      <c r="J37" s="646" t="s">
        <v>63</v>
      </c>
      <c r="K37" s="647"/>
    </row>
    <row r="38" spans="3:13" ht="12.75" thickBot="1">
      <c r="C38" s="238"/>
      <c r="D38" s="238"/>
      <c r="E38" s="238"/>
      <c r="J38" s="648" t="s">
        <v>368</v>
      </c>
      <c r="K38" s="649"/>
      <c r="L38" s="80"/>
      <c r="M38" s="80"/>
    </row>
    <row r="39" spans="1:11" ht="12">
      <c r="A39" s="664" t="s">
        <v>63</v>
      </c>
      <c r="B39" s="665"/>
      <c r="C39" s="665"/>
      <c r="D39" s="665"/>
      <c r="E39" s="665"/>
      <c r="F39" s="665"/>
      <c r="G39" s="665"/>
      <c r="H39" s="666"/>
      <c r="J39" s="348" t="s">
        <v>369</v>
      </c>
      <c r="K39" s="349" t="s">
        <v>370</v>
      </c>
    </row>
    <row r="40" spans="1:11" ht="36">
      <c r="A40" s="587" t="s">
        <v>89</v>
      </c>
      <c r="B40" s="589"/>
      <c r="C40" s="162" t="s">
        <v>237</v>
      </c>
      <c r="D40" s="162" t="s">
        <v>255</v>
      </c>
      <c r="E40" s="162" t="s">
        <v>62</v>
      </c>
      <c r="F40" s="162" t="s">
        <v>143</v>
      </c>
      <c r="G40" s="162" t="s">
        <v>298</v>
      </c>
      <c r="H40" s="163" t="s">
        <v>299</v>
      </c>
      <c r="J40" s="342" t="s">
        <v>371</v>
      </c>
      <c r="K40" s="343">
        <v>31</v>
      </c>
    </row>
    <row r="41" spans="1:11" ht="24">
      <c r="A41" s="587" t="s">
        <v>64</v>
      </c>
      <c r="B41" s="230" t="s">
        <v>88</v>
      </c>
      <c r="C41" s="230">
        <f>C3</f>
        <v>38</v>
      </c>
      <c r="D41" s="230">
        <f>D3</f>
        <v>40</v>
      </c>
      <c r="E41" s="231">
        <f>E3</f>
        <v>75</v>
      </c>
      <c r="F41" s="231" t="str">
        <f>F3</f>
        <v>N/A</v>
      </c>
      <c r="G41" s="231" t="s">
        <v>74</v>
      </c>
      <c r="H41" s="232" t="str">
        <f>H3</f>
        <v>N/A</v>
      </c>
      <c r="J41" s="344" t="s">
        <v>372</v>
      </c>
      <c r="K41" s="343">
        <v>16</v>
      </c>
    </row>
    <row r="42" spans="1:11" ht="12.75" thickBot="1">
      <c r="A42" s="587"/>
      <c r="B42" s="162" t="s">
        <v>1</v>
      </c>
      <c r="C42" s="658"/>
      <c r="D42" s="659"/>
      <c r="E42" s="659"/>
      <c r="F42" s="659"/>
      <c r="G42" s="659"/>
      <c r="H42" s="660"/>
      <c r="J42" s="344" t="s">
        <v>373</v>
      </c>
      <c r="K42" s="343">
        <v>36</v>
      </c>
    </row>
    <row r="43" spans="1:11" ht="12.75" thickBot="1">
      <c r="A43" s="479">
        <v>30</v>
      </c>
      <c r="B43" s="480">
        <v>2050</v>
      </c>
      <c r="C43" s="481">
        <f aca="true" t="shared" si="4" ref="C43:H43">ROUND(C37,-3)</f>
        <v>1124000</v>
      </c>
      <c r="D43" s="481">
        <f t="shared" si="4"/>
        <v>2431000</v>
      </c>
      <c r="E43" s="481">
        <f t="shared" si="4"/>
        <v>5374000</v>
      </c>
      <c r="F43" s="481">
        <f t="shared" si="4"/>
        <v>8929000</v>
      </c>
      <c r="G43" s="481">
        <f t="shared" si="4"/>
        <v>3468000</v>
      </c>
      <c r="H43" s="482">
        <f t="shared" si="4"/>
        <v>1025000</v>
      </c>
      <c r="J43" s="344" t="s">
        <v>374</v>
      </c>
      <c r="K43" s="343">
        <v>40</v>
      </c>
    </row>
    <row r="44" spans="10:11" ht="12">
      <c r="J44" s="344" t="s">
        <v>375</v>
      </c>
      <c r="K44" s="343">
        <v>34</v>
      </c>
    </row>
    <row r="45" spans="10:11" ht="12">
      <c r="J45" s="342" t="s">
        <v>376</v>
      </c>
      <c r="K45" s="343">
        <v>48</v>
      </c>
    </row>
    <row r="46" spans="10:11" ht="12">
      <c r="J46" s="342" t="s">
        <v>377</v>
      </c>
      <c r="K46" s="343">
        <v>48</v>
      </c>
    </row>
    <row r="47" spans="10:11" ht="12">
      <c r="J47" s="342" t="s">
        <v>378</v>
      </c>
      <c r="K47" s="343">
        <v>48</v>
      </c>
    </row>
    <row r="48" spans="10:11" ht="12">
      <c r="J48" s="344" t="s">
        <v>379</v>
      </c>
      <c r="K48" s="343">
        <v>32</v>
      </c>
    </row>
    <row r="49" spans="10:11" ht="12">
      <c r="J49" s="344" t="s">
        <v>380</v>
      </c>
      <c r="K49" s="343">
        <v>30</v>
      </c>
    </row>
    <row r="50" spans="10:11" ht="12">
      <c r="J50" s="342" t="s">
        <v>381</v>
      </c>
      <c r="K50" s="343">
        <v>38</v>
      </c>
    </row>
    <row r="51" spans="10:11" ht="12">
      <c r="J51" s="345" t="s">
        <v>382</v>
      </c>
      <c r="K51" s="346">
        <v>38</v>
      </c>
    </row>
    <row r="52" spans="10:11" ht="12">
      <c r="J52" s="342" t="s">
        <v>383</v>
      </c>
      <c r="K52" s="343">
        <v>54</v>
      </c>
    </row>
    <row r="53" spans="10:11" ht="12">
      <c r="J53" s="344" t="s">
        <v>384</v>
      </c>
      <c r="K53" s="343">
        <v>40</v>
      </c>
    </row>
    <row r="54" spans="10:11" ht="12">
      <c r="J54" s="342" t="s">
        <v>385</v>
      </c>
      <c r="K54" s="343">
        <v>50</v>
      </c>
    </row>
    <row r="55" spans="10:11" ht="12">
      <c r="J55" s="342" t="s">
        <v>386</v>
      </c>
      <c r="K55" s="343">
        <v>60</v>
      </c>
    </row>
    <row r="56" spans="10:11" ht="12">
      <c r="J56" s="342" t="s">
        <v>387</v>
      </c>
      <c r="K56" s="343">
        <v>60</v>
      </c>
    </row>
    <row r="57" spans="10:11" ht="12">
      <c r="J57" s="342" t="s">
        <v>388</v>
      </c>
      <c r="K57" s="343">
        <v>60</v>
      </c>
    </row>
    <row r="58" spans="10:11" ht="12">
      <c r="J58" s="342" t="s">
        <v>389</v>
      </c>
      <c r="K58" s="343">
        <v>60</v>
      </c>
    </row>
    <row r="59" spans="10:11" ht="12">
      <c r="J59" s="342" t="s">
        <v>390</v>
      </c>
      <c r="K59" s="343">
        <v>50</v>
      </c>
    </row>
    <row r="60" spans="10:11" ht="12">
      <c r="J60" s="342" t="s">
        <v>391</v>
      </c>
      <c r="K60" s="343">
        <v>60</v>
      </c>
    </row>
    <row r="61" spans="10:11" ht="12">
      <c r="J61" s="656" t="s">
        <v>392</v>
      </c>
      <c r="K61" s="657"/>
    </row>
    <row r="62" spans="10:11" ht="12">
      <c r="J62" s="654" t="s">
        <v>393</v>
      </c>
      <c r="K62" s="655"/>
    </row>
    <row r="63" spans="10:11" ht="12">
      <c r="J63" s="347"/>
      <c r="K63" s="341"/>
    </row>
    <row r="64" spans="10:11" ht="12">
      <c r="J64" s="342" t="s">
        <v>394</v>
      </c>
      <c r="K64" s="343">
        <v>75</v>
      </c>
    </row>
    <row r="65" spans="10:11" ht="12">
      <c r="J65" s="652" t="s">
        <v>395</v>
      </c>
      <c r="K65" s="653"/>
    </row>
    <row r="66" spans="10:11" ht="12">
      <c r="J66" s="652" t="s">
        <v>396</v>
      </c>
      <c r="K66" s="653"/>
    </row>
    <row r="67" spans="10:11" ht="12.75" thickBot="1">
      <c r="J67" s="650" t="s">
        <v>397</v>
      </c>
      <c r="K67" s="651"/>
    </row>
    <row r="73" ht="13.5" customHeight="1"/>
    <row r="74" spans="1:2" ht="12">
      <c r="A74" s="80"/>
      <c r="B74" s="80"/>
    </row>
  </sheetData>
  <sheetProtection/>
  <mergeCells count="15">
    <mergeCell ref="A40:B40"/>
    <mergeCell ref="A41:A42"/>
    <mergeCell ref="C42:H42"/>
    <mergeCell ref="C4:H4"/>
    <mergeCell ref="A3:A4"/>
    <mergeCell ref="A1:H1"/>
    <mergeCell ref="A2:B2"/>
    <mergeCell ref="A39:H39"/>
    <mergeCell ref="J37:K37"/>
    <mergeCell ref="J38:K38"/>
    <mergeCell ref="J67:K67"/>
    <mergeCell ref="J66:K66"/>
    <mergeCell ref="J65:K65"/>
    <mergeCell ref="J62:K62"/>
    <mergeCell ref="J61:K61"/>
  </mergeCells>
  <hyperlinks>
    <hyperlink ref="J41" location="fn17" display="fn17"/>
    <hyperlink ref="J42" location="fn17" display="fn17"/>
    <hyperlink ref="J43" location="fn17" display="fn17"/>
    <hyperlink ref="J44" location="fn17" display="fn17"/>
    <hyperlink ref="J48" location="fn18" display="fn18"/>
    <hyperlink ref="J49" location="fn18" display="fn18"/>
    <hyperlink ref="J53" location="fn20" display="fn20"/>
    <hyperlink ref="J62" r:id="rId1" display="http://www.bea.gov/scb/account_articles/national/wlth2594/tableC.htm"/>
  </hyperlinks>
  <printOptions/>
  <pageMargins left="0.7" right="0.7" top="0.75" bottom="0.75" header="0.3" footer="0.3"/>
  <pageSetup horizontalDpi="300" verticalDpi="300" orientation="portrait" r:id="rId3"/>
  <drawing r:id="rId2"/>
</worksheet>
</file>

<file path=xl/worksheets/sheet17.xml><?xml version="1.0" encoding="utf-8"?>
<worksheet xmlns="http://schemas.openxmlformats.org/spreadsheetml/2006/main" xmlns:r="http://schemas.openxmlformats.org/officeDocument/2006/relationships">
  <dimension ref="A1:H71"/>
  <sheetViews>
    <sheetView zoomScalePageLayoutView="0" workbookViewId="0" topLeftCell="A1">
      <selection activeCell="E9" sqref="E9"/>
    </sheetView>
  </sheetViews>
  <sheetFormatPr defaultColWidth="9.140625" defaultRowHeight="12.75"/>
  <cols>
    <col min="1" max="2" width="9.140625" style="253" customWidth="1"/>
    <col min="3" max="5" width="12.7109375" style="249" customWidth="1"/>
    <col min="6" max="6" width="13.421875" style="249" customWidth="1"/>
    <col min="7" max="8" width="12.7109375" style="249" customWidth="1"/>
    <col min="9" max="16384" width="9.140625" style="249" customWidth="1"/>
  </cols>
  <sheetData>
    <row r="1" spans="1:8" s="246" customFormat="1" ht="72">
      <c r="A1" s="243" t="s">
        <v>64</v>
      </c>
      <c r="B1" s="239" t="s">
        <v>1</v>
      </c>
      <c r="C1" s="244" t="s">
        <v>362</v>
      </c>
      <c r="D1" s="244" t="s">
        <v>361</v>
      </c>
      <c r="E1" s="244" t="s">
        <v>359</v>
      </c>
      <c r="F1" s="244" t="s">
        <v>360</v>
      </c>
      <c r="G1" s="244" t="s">
        <v>357</v>
      </c>
      <c r="H1" s="245" t="s">
        <v>358</v>
      </c>
    </row>
    <row r="2" spans="1:8" ht="12">
      <c r="A2" s="247">
        <v>-2</v>
      </c>
      <c r="B2" s="240">
        <v>2018</v>
      </c>
      <c r="C2" s="241">
        <f>'Reduced Truck Emissions'!AW3*Inputs!$B$71</f>
        <v>0</v>
      </c>
      <c r="D2" s="241">
        <f>'Reduced Truck Emissions'!AX3*Inputs!$B$70</f>
        <v>0</v>
      </c>
      <c r="E2" s="241">
        <f>'Reduced Truck Emissions'!AZ3*Inputs!$B$72</f>
        <v>0</v>
      </c>
      <c r="F2" s="241">
        <f>SUM(C2:E2)</f>
        <v>0</v>
      </c>
      <c r="G2" s="241">
        <f>F2/((1+Inputs!$B$6)^(B2-Inputs!$B$10))</f>
        <v>0</v>
      </c>
      <c r="H2" s="248">
        <f>F2/((1+Inputs!$B$5)^(B2-Inputs!$B$10))</f>
        <v>0</v>
      </c>
    </row>
    <row r="3" spans="1:8" ht="12">
      <c r="A3" s="247">
        <v>-1</v>
      </c>
      <c r="B3" s="242">
        <v>2019</v>
      </c>
      <c r="C3" s="241">
        <f>'Reduced Truck Emissions'!AW4*Inputs!$B$71</f>
        <v>0</v>
      </c>
      <c r="D3" s="241">
        <f>'Reduced Truck Emissions'!AX4*Inputs!$B$70</f>
        <v>0</v>
      </c>
      <c r="E3" s="241">
        <f>'Reduced Truck Emissions'!AZ4*Inputs!$B$72</f>
        <v>0</v>
      </c>
      <c r="F3" s="241">
        <f>SUM(C3:E3)</f>
        <v>0</v>
      </c>
      <c r="G3" s="241">
        <f>F3/((1+Inputs!$B$6)^(B3-Inputs!$B$10))</f>
        <v>0</v>
      </c>
      <c r="H3" s="248">
        <f>F3/((1+Inputs!$B$5)^(B3-Inputs!$B$10))</f>
        <v>0</v>
      </c>
    </row>
    <row r="4" spans="1:8" ht="12">
      <c r="A4" s="247">
        <v>0</v>
      </c>
      <c r="B4" s="242">
        <v>2020</v>
      </c>
      <c r="C4" s="241">
        <f>'Reduced Truck Emissions'!AW5*Inputs!$B$71</f>
        <v>0</v>
      </c>
      <c r="D4" s="241">
        <f>'Reduced Truck Emissions'!AX5*Inputs!$B$70</f>
        <v>-0.010016534664925017</v>
      </c>
      <c r="E4" s="241">
        <f>'Reduced Truck Emissions'!AZ5*Inputs!$B$72</f>
        <v>-0.4614888892563259</v>
      </c>
      <c r="F4" s="241">
        <f>SUM(C4:E4)</f>
        <v>-0.47150542392125094</v>
      </c>
      <c r="G4" s="241">
        <f>F4/((1+Inputs!$B$6)^(B4-Inputs!$B$10))</f>
        <v>-0.4444390837225478</v>
      </c>
      <c r="H4" s="248">
        <f>F4/((1+Inputs!$B$5)^(B4-Inputs!$B$10))</f>
        <v>-0.411831097843699</v>
      </c>
    </row>
    <row r="5" spans="1:8" ht="12">
      <c r="A5" s="247">
        <v>1</v>
      </c>
      <c r="B5" s="242">
        <v>2021</v>
      </c>
      <c r="C5" s="250">
        <f>'Reduced Truck Emissions'!AW6*Inputs!$B$71</f>
        <v>282489.27585521754</v>
      </c>
      <c r="D5" s="250">
        <f>'Reduced Truck Emissions'!AX6*Inputs!$B$70</f>
        <v>3548.580449784961</v>
      </c>
      <c r="E5" s="250">
        <f>'Reduced Truck Emissions'!AZ6*Inputs!$B$72</f>
        <v>303019.87625871395</v>
      </c>
      <c r="F5" s="250">
        <f>SUM(C5:E5)</f>
        <v>589057.7325637165</v>
      </c>
      <c r="G5" s="241">
        <f>F5/((1+Inputs!$B$6)^(B5-Inputs!$B$10))</f>
        <v>539071.2708331692</v>
      </c>
      <c r="H5" s="248">
        <f>F5/((1+Inputs!$B$5)^(B5-Inputs!$B$10))</f>
        <v>480846.576457901</v>
      </c>
    </row>
    <row r="6" spans="1:8" ht="12">
      <c r="A6" s="247">
        <v>2</v>
      </c>
      <c r="B6" s="242">
        <v>2022</v>
      </c>
      <c r="C6" s="250">
        <f>'Reduced Truck Emissions'!AW7*Inputs!$B$71</f>
        <v>282489.27585521754</v>
      </c>
      <c r="D6" s="250">
        <f>'Reduced Truck Emissions'!AX7*Inputs!$B$70</f>
        <v>3548.580449784961</v>
      </c>
      <c r="E6" s="250">
        <f>'Reduced Truck Emissions'!AZ7*Inputs!$B$72</f>
        <v>303019.87625871395</v>
      </c>
      <c r="F6" s="250">
        <f aca="true" t="shared" si="0" ref="F6:F33">SUM(C6:E6)</f>
        <v>589057.7325637165</v>
      </c>
      <c r="G6" s="241">
        <f>F6/((1+Inputs!$B$6)^(B6-Inputs!$B$10))</f>
        <v>523370.16585744586</v>
      </c>
      <c r="H6" s="248">
        <f>F6/((1+Inputs!$B$5)^(B6-Inputs!$B$10))</f>
        <v>449389.32379243086</v>
      </c>
    </row>
    <row r="7" spans="1:8" ht="12">
      <c r="A7" s="247">
        <v>3</v>
      </c>
      <c r="B7" s="242">
        <v>2023</v>
      </c>
      <c r="C7" s="250">
        <f>'Reduced Truck Emissions'!AW8*Inputs!$B$71</f>
        <v>282489.27585521754</v>
      </c>
      <c r="D7" s="250">
        <f>'Reduced Truck Emissions'!AX8*Inputs!$B$70</f>
        <v>3548.580449784961</v>
      </c>
      <c r="E7" s="250">
        <f>'Reduced Truck Emissions'!AZ8*Inputs!$B$72</f>
        <v>303019.87625871395</v>
      </c>
      <c r="F7" s="250">
        <f t="shared" si="0"/>
        <v>589057.7325637165</v>
      </c>
      <c r="G7" s="241">
        <f>F7/((1+Inputs!$B$6)^(B7-Inputs!$B$10))</f>
        <v>508126.3746188795</v>
      </c>
      <c r="H7" s="248">
        <f>F7/((1+Inputs!$B$5)^(B7-Inputs!$B$10))</f>
        <v>419990.0222359167</v>
      </c>
    </row>
    <row r="8" spans="1:8" ht="12">
      <c r="A8" s="247">
        <v>4</v>
      </c>
      <c r="B8" s="242">
        <v>2024</v>
      </c>
      <c r="C8" s="250">
        <f>'Reduced Truck Emissions'!AW9*Inputs!$B$71</f>
        <v>282489.27585521754</v>
      </c>
      <c r="D8" s="250">
        <f>'Reduced Truck Emissions'!AX9*Inputs!$B$70</f>
        <v>3548.580449784961</v>
      </c>
      <c r="E8" s="250">
        <f>'Reduced Truck Emissions'!AZ9*Inputs!$B$72</f>
        <v>303019.87625871395</v>
      </c>
      <c r="F8" s="250">
        <f t="shared" si="0"/>
        <v>589057.7325637165</v>
      </c>
      <c r="G8" s="241">
        <f>F8/((1+Inputs!$B$6)^(B8-Inputs!$B$10))</f>
        <v>493326.577299883</v>
      </c>
      <c r="H8" s="248">
        <f>F8/((1+Inputs!$B$5)^(B8-Inputs!$B$10))</f>
        <v>392514.03947281936</v>
      </c>
    </row>
    <row r="9" spans="1:8" ht="12">
      <c r="A9" s="247">
        <v>5</v>
      </c>
      <c r="B9" s="242">
        <v>2025</v>
      </c>
      <c r="C9" s="250">
        <f>'Reduced Truck Emissions'!AW10*Inputs!$B$71</f>
        <v>282489.27585521754</v>
      </c>
      <c r="D9" s="250">
        <f>'Reduced Truck Emissions'!AX10*Inputs!$B$70</f>
        <v>3548.580449784961</v>
      </c>
      <c r="E9" s="250">
        <f>'Reduced Truck Emissions'!AZ10*Inputs!$B$72</f>
        <v>303019.87625871395</v>
      </c>
      <c r="F9" s="250">
        <f t="shared" si="0"/>
        <v>589057.7325637165</v>
      </c>
      <c r="G9" s="241">
        <f>F9/((1+Inputs!$B$6)^(B9-Inputs!$B$10))</f>
        <v>478957.8420387213</v>
      </c>
      <c r="H9" s="248">
        <f>F9/((1+Inputs!$B$5)^(B9-Inputs!$B$10))</f>
        <v>366835.55090917693</v>
      </c>
    </row>
    <row r="10" spans="1:8" ht="12">
      <c r="A10" s="247">
        <v>6</v>
      </c>
      <c r="B10" s="242">
        <v>2026</v>
      </c>
      <c r="C10" s="250">
        <f>'Reduced Truck Emissions'!AW11*Inputs!$B$71</f>
        <v>282489.27585521754</v>
      </c>
      <c r="D10" s="250">
        <f>'Reduced Truck Emissions'!AX11*Inputs!$B$70</f>
        <v>3548.580449784961</v>
      </c>
      <c r="E10" s="250">
        <f>'Reduced Truck Emissions'!AZ11*Inputs!$B$72</f>
        <v>303019.87625871395</v>
      </c>
      <c r="F10" s="250">
        <f t="shared" si="0"/>
        <v>589057.7325637165</v>
      </c>
      <c r="G10" s="241">
        <f>F10/((1+Inputs!$B$6)^(B10-Inputs!$B$10))</f>
        <v>465007.6136298266</v>
      </c>
      <c r="H10" s="248">
        <f>F10/((1+Inputs!$B$5)^(B10-Inputs!$B$10))</f>
        <v>342836.96346652054</v>
      </c>
    </row>
    <row r="11" spans="1:8" ht="12">
      <c r="A11" s="247">
        <v>7</v>
      </c>
      <c r="B11" s="242">
        <v>2027</v>
      </c>
      <c r="C11" s="250">
        <f>'Reduced Truck Emissions'!AW12*Inputs!$B$71</f>
        <v>282489.27585521754</v>
      </c>
      <c r="D11" s="250">
        <f>'Reduced Truck Emissions'!AX12*Inputs!$B$70</f>
        <v>3548.580449784961</v>
      </c>
      <c r="E11" s="250">
        <f>'Reduced Truck Emissions'!AZ12*Inputs!$B$72</f>
        <v>303019.87625871395</v>
      </c>
      <c r="F11" s="250">
        <f t="shared" si="0"/>
        <v>589057.7325637165</v>
      </c>
      <c r="G11" s="241">
        <f>F11/((1+Inputs!$B$6)^(B11-Inputs!$B$10))</f>
        <v>451463.7025532297</v>
      </c>
      <c r="H11" s="248">
        <f>F11/((1+Inputs!$B$5)^(B11-Inputs!$B$10))</f>
        <v>320408.37707151443</v>
      </c>
    </row>
    <row r="12" spans="1:8" ht="12">
      <c r="A12" s="247">
        <v>8</v>
      </c>
      <c r="B12" s="242">
        <v>2028</v>
      </c>
      <c r="C12" s="250">
        <f>'Reduced Truck Emissions'!AW13*Inputs!$B$71</f>
        <v>282489.27585521754</v>
      </c>
      <c r="D12" s="250">
        <f>'Reduced Truck Emissions'!AX13*Inputs!$B$70</f>
        <v>3548.580449784961</v>
      </c>
      <c r="E12" s="250">
        <f>'Reduced Truck Emissions'!AZ13*Inputs!$B$72</f>
        <v>303019.87625871395</v>
      </c>
      <c r="F12" s="250">
        <f t="shared" si="0"/>
        <v>589057.7325637165</v>
      </c>
      <c r="G12" s="241">
        <f>F12/((1+Inputs!$B$6)^(B12-Inputs!$B$10))</f>
        <v>438314.274323524</v>
      </c>
      <c r="H12" s="248">
        <f>F12/((1+Inputs!$B$5)^(B12-Inputs!$B$10))</f>
        <v>299447.08137524716</v>
      </c>
    </row>
    <row r="13" spans="1:8" ht="12">
      <c r="A13" s="247">
        <v>9</v>
      </c>
      <c r="B13" s="242">
        <v>2029</v>
      </c>
      <c r="C13" s="250">
        <f>'Reduced Truck Emissions'!AW14*Inputs!$B$71</f>
        <v>282489.27585521754</v>
      </c>
      <c r="D13" s="250">
        <f>'Reduced Truck Emissions'!AX14*Inputs!$B$70</f>
        <v>3548.580449784961</v>
      </c>
      <c r="E13" s="250">
        <f>'Reduced Truck Emissions'!AZ14*Inputs!$B$72</f>
        <v>303019.87625871395</v>
      </c>
      <c r="F13" s="250">
        <f t="shared" si="0"/>
        <v>589057.7325637165</v>
      </c>
      <c r="G13" s="241">
        <f>F13/((1+Inputs!$B$6)^(B13-Inputs!$B$10))</f>
        <v>425547.8391490524</v>
      </c>
      <c r="H13" s="248">
        <f>F13/((1+Inputs!$B$5)^(B13-Inputs!$B$10))</f>
        <v>279857.0853974272</v>
      </c>
    </row>
    <row r="14" spans="1:8" ht="12">
      <c r="A14" s="247">
        <v>10</v>
      </c>
      <c r="B14" s="242">
        <v>2030</v>
      </c>
      <c r="C14" s="250">
        <f>'Reduced Truck Emissions'!AW15*Inputs!$B$71</f>
        <v>282489.27585521754</v>
      </c>
      <c r="D14" s="250">
        <f>'Reduced Truck Emissions'!AX15*Inputs!$B$70</f>
        <v>3548.580449784961</v>
      </c>
      <c r="E14" s="250">
        <f>'Reduced Truck Emissions'!AZ15*Inputs!$B$72</f>
        <v>303019.87625871395</v>
      </c>
      <c r="F14" s="250">
        <f t="shared" si="0"/>
        <v>589057.7325637165</v>
      </c>
      <c r="G14" s="241">
        <f>F14/((1+Inputs!$B$6)^(B14-Inputs!$B$10))</f>
        <v>413153.2418922839</v>
      </c>
      <c r="H14" s="248">
        <f>F14/((1+Inputs!$B$5)^(B14-Inputs!$B$10))</f>
        <v>261548.67794152081</v>
      </c>
    </row>
    <row r="15" spans="1:8" ht="12">
      <c r="A15" s="247">
        <v>11</v>
      </c>
      <c r="B15" s="242">
        <v>2031</v>
      </c>
      <c r="C15" s="250">
        <f>'Reduced Truck Emissions'!AW16*Inputs!$B$71</f>
        <v>282489.27585521754</v>
      </c>
      <c r="D15" s="250">
        <f>'Reduced Truck Emissions'!AX16*Inputs!$B$70</f>
        <v>3548.580449784961</v>
      </c>
      <c r="E15" s="250">
        <f>'Reduced Truck Emissions'!AZ16*Inputs!$B$72</f>
        <v>303019.87625871395</v>
      </c>
      <c r="F15" s="250">
        <f t="shared" si="0"/>
        <v>589057.7325637165</v>
      </c>
      <c r="G15" s="241">
        <f>F15/((1+Inputs!$B$6)^(B15-Inputs!$B$10))</f>
        <v>401119.6523226058</v>
      </c>
      <c r="H15" s="248">
        <f>F15/((1+Inputs!$B$5)^(B15-Inputs!$B$10))</f>
        <v>244438.01676777645</v>
      </c>
    </row>
    <row r="16" spans="1:8" ht="12">
      <c r="A16" s="247">
        <v>12</v>
      </c>
      <c r="B16" s="242">
        <v>2032</v>
      </c>
      <c r="C16" s="250">
        <f>'Reduced Truck Emissions'!AW17*Inputs!$B$71</f>
        <v>282489.27585521754</v>
      </c>
      <c r="D16" s="250">
        <f>'Reduced Truck Emissions'!AX17*Inputs!$B$70</f>
        <v>3548.580449784961</v>
      </c>
      <c r="E16" s="250">
        <f>'Reduced Truck Emissions'!AZ17*Inputs!$B$72</f>
        <v>303019.87625871395</v>
      </c>
      <c r="F16" s="250">
        <f t="shared" si="0"/>
        <v>589057.7325637165</v>
      </c>
      <c r="G16" s="241">
        <f>F16/((1+Inputs!$B$6)^(B16-Inputs!$B$10))</f>
        <v>389436.55565301527</v>
      </c>
      <c r="H16" s="248">
        <f>F16/((1+Inputs!$B$5)^(B16-Inputs!$B$10))</f>
        <v>228446.74464278173</v>
      </c>
    </row>
    <row r="17" spans="1:8" ht="12">
      <c r="A17" s="247">
        <v>13</v>
      </c>
      <c r="B17" s="242">
        <v>2033</v>
      </c>
      <c r="C17" s="250">
        <f>'Reduced Truck Emissions'!AW18*Inputs!$B$71</f>
        <v>282489.27585521754</v>
      </c>
      <c r="D17" s="250">
        <f>'Reduced Truck Emissions'!AX18*Inputs!$B$70</f>
        <v>3548.580449784961</v>
      </c>
      <c r="E17" s="250">
        <f>'Reduced Truck Emissions'!AZ18*Inputs!$B$72</f>
        <v>303019.87625871395</v>
      </c>
      <c r="F17" s="250">
        <f t="shared" si="0"/>
        <v>589057.7325637165</v>
      </c>
      <c r="G17" s="241">
        <f>F17/((1+Inputs!$B$6)^(B17-Inputs!$B$10))</f>
        <v>378093.743352442</v>
      </c>
      <c r="H17" s="248">
        <f>F17/((1+Inputs!$B$5)^(B17-Inputs!$B$10))</f>
        <v>213501.63050727264</v>
      </c>
    </row>
    <row r="18" spans="1:8" ht="12">
      <c r="A18" s="247">
        <v>14</v>
      </c>
      <c r="B18" s="242">
        <v>2034</v>
      </c>
      <c r="C18" s="250">
        <f>'Reduced Truck Emissions'!AW19*Inputs!$B$71</f>
        <v>282489.27585521754</v>
      </c>
      <c r="D18" s="250">
        <f>'Reduced Truck Emissions'!AX19*Inputs!$B$70</f>
        <v>3548.580449784961</v>
      </c>
      <c r="E18" s="250">
        <f>'Reduced Truck Emissions'!AZ19*Inputs!$B$72</f>
        <v>303019.87625871395</v>
      </c>
      <c r="F18" s="250">
        <f t="shared" si="0"/>
        <v>589057.7325637165</v>
      </c>
      <c r="G18" s="241">
        <f>F18/((1+Inputs!$B$6)^(B18-Inputs!$B$10))</f>
        <v>367081.30422567186</v>
      </c>
      <c r="H18" s="248">
        <f>F18/((1+Inputs!$B$5)^(B18-Inputs!$B$10))</f>
        <v>199534.23411894642</v>
      </c>
    </row>
    <row r="19" spans="1:8" ht="12">
      <c r="A19" s="247">
        <v>15</v>
      </c>
      <c r="B19" s="242">
        <v>2035</v>
      </c>
      <c r="C19" s="250">
        <f>'Reduced Truck Emissions'!AW20*Inputs!$B$71</f>
        <v>282489.27585521754</v>
      </c>
      <c r="D19" s="250">
        <f>'Reduced Truck Emissions'!AX20*Inputs!$B$70</f>
        <v>3548.580449784961</v>
      </c>
      <c r="E19" s="250">
        <f>'Reduced Truck Emissions'!AZ20*Inputs!$B$72</f>
        <v>303019.87625871395</v>
      </c>
      <c r="F19" s="250">
        <f t="shared" si="0"/>
        <v>589057.7325637165</v>
      </c>
      <c r="G19" s="241">
        <f>F19/((1+Inputs!$B$6)^(B19-Inputs!$B$10))</f>
        <v>356389.6157530795</v>
      </c>
      <c r="H19" s="248">
        <f>F19/((1+Inputs!$B$5)^(B19-Inputs!$B$10))</f>
        <v>186480.59263452937</v>
      </c>
    </row>
    <row r="20" spans="1:8" ht="12">
      <c r="A20" s="247">
        <v>16</v>
      </c>
      <c r="B20" s="242">
        <v>2036</v>
      </c>
      <c r="C20" s="250">
        <f>'Reduced Truck Emissions'!AW21*Inputs!$B$71</f>
        <v>282489.27585521754</v>
      </c>
      <c r="D20" s="250">
        <f>'Reduced Truck Emissions'!AX21*Inputs!$B$70</f>
        <v>3548.580449784961</v>
      </c>
      <c r="E20" s="250">
        <f>'Reduced Truck Emissions'!AZ21*Inputs!$B$72</f>
        <v>303019.87625871395</v>
      </c>
      <c r="F20" s="250">
        <f t="shared" si="0"/>
        <v>589057.7325637165</v>
      </c>
      <c r="G20" s="241">
        <f>F20/((1+Inputs!$B$6)^(B20-Inputs!$B$10))</f>
        <v>346009.33568260144</v>
      </c>
      <c r="H20" s="248">
        <f>F20/((1+Inputs!$B$5)^(B20-Inputs!$B$10))</f>
        <v>174280.92769582183</v>
      </c>
    </row>
    <row r="21" spans="1:8" ht="12">
      <c r="A21" s="247">
        <v>17</v>
      </c>
      <c r="B21" s="242">
        <v>2037</v>
      </c>
      <c r="C21" s="250">
        <f>'Reduced Truck Emissions'!AW22*Inputs!$B$71</f>
        <v>282489.27585521754</v>
      </c>
      <c r="D21" s="250">
        <f>'Reduced Truck Emissions'!AX22*Inputs!$B$70</f>
        <v>3548.580449784961</v>
      </c>
      <c r="E21" s="250">
        <f>'Reduced Truck Emissions'!AZ22*Inputs!$B$72</f>
        <v>303019.87625871395</v>
      </c>
      <c r="F21" s="250">
        <f t="shared" si="0"/>
        <v>589057.7325637165</v>
      </c>
      <c r="G21" s="241">
        <f>F21/((1+Inputs!$B$6)^(B21-Inputs!$B$10))</f>
        <v>335931.3938666034</v>
      </c>
      <c r="H21" s="248">
        <f>F21/((1+Inputs!$B$5)^(B21-Inputs!$B$10))</f>
        <v>162879.37167833815</v>
      </c>
    </row>
    <row r="22" spans="1:8" ht="12">
      <c r="A22" s="247">
        <v>18</v>
      </c>
      <c r="B22" s="242">
        <v>2038</v>
      </c>
      <c r="C22" s="250">
        <f>'Reduced Truck Emissions'!AW23*Inputs!$B$71</f>
        <v>282489.27585521754</v>
      </c>
      <c r="D22" s="250">
        <f>'Reduced Truck Emissions'!AX23*Inputs!$B$70</f>
        <v>3548.580449784961</v>
      </c>
      <c r="E22" s="250">
        <f>'Reduced Truck Emissions'!AZ23*Inputs!$B$72</f>
        <v>303019.87625871395</v>
      </c>
      <c r="F22" s="250">
        <f t="shared" si="0"/>
        <v>589057.7325637165</v>
      </c>
      <c r="G22" s="241">
        <f>F22/((1+Inputs!$B$6)^(B22-Inputs!$B$10))</f>
        <v>326146.98433650815</v>
      </c>
      <c r="H22" s="248">
        <f>F22/((1+Inputs!$B$5)^(B22-Inputs!$B$10))</f>
        <v>152223.71184891416</v>
      </c>
    </row>
    <row r="23" spans="1:8" ht="12">
      <c r="A23" s="247">
        <v>19</v>
      </c>
      <c r="B23" s="242">
        <v>2039</v>
      </c>
      <c r="C23" s="250">
        <f>'Reduced Truck Emissions'!AW24*Inputs!$B$71</f>
        <v>282489.27585521754</v>
      </c>
      <c r="D23" s="250">
        <f>'Reduced Truck Emissions'!AX24*Inputs!$B$70</f>
        <v>3548.580449784961</v>
      </c>
      <c r="E23" s="250">
        <f>'Reduced Truck Emissions'!AZ24*Inputs!$B$72</f>
        <v>303019.87625871395</v>
      </c>
      <c r="F23" s="250">
        <f t="shared" si="0"/>
        <v>589057.7325637165</v>
      </c>
      <c r="G23" s="241">
        <f>F23/((1+Inputs!$B$6)^(B23-Inputs!$B$10))</f>
        <v>316647.55760826037</v>
      </c>
      <c r="H23" s="248">
        <f>F23/((1+Inputs!$B$5)^(B23-Inputs!$B$10))</f>
        <v>142265.15126066742</v>
      </c>
    </row>
    <row r="24" spans="1:8" ht="12">
      <c r="A24" s="247">
        <v>20</v>
      </c>
      <c r="B24" s="242">
        <v>2040</v>
      </c>
      <c r="C24" s="250">
        <f>'Reduced Truck Emissions'!AW25*Inputs!$B$71</f>
        <v>282489.27585521754</v>
      </c>
      <c r="D24" s="250">
        <f>'Reduced Truck Emissions'!AX25*Inputs!$B$70</f>
        <v>3548.580449784961</v>
      </c>
      <c r="E24" s="250">
        <f>'Reduced Truck Emissions'!AZ25*Inputs!$B$72</f>
        <v>303019.87625871395</v>
      </c>
      <c r="F24" s="250">
        <f t="shared" si="0"/>
        <v>589057.7325637165</v>
      </c>
      <c r="G24" s="241">
        <f>F24/((1+Inputs!$B$6)^(B24-Inputs!$B$10))</f>
        <v>307424.8132119032</v>
      </c>
      <c r="H24" s="248">
        <f>F24/((1+Inputs!$B$5)^(B24-Inputs!$B$10))</f>
        <v>132958.0852903434</v>
      </c>
    </row>
    <row r="25" spans="1:8" ht="12">
      <c r="A25" s="247">
        <v>21</v>
      </c>
      <c r="B25" s="242">
        <v>2041</v>
      </c>
      <c r="C25" s="250">
        <f>'Reduced Truck Emissions'!AW26*Inputs!$B$71</f>
        <v>282489.27585521754</v>
      </c>
      <c r="D25" s="250">
        <f>'Reduced Truck Emissions'!AX26*Inputs!$B$70</f>
        <v>3548.580449784961</v>
      </c>
      <c r="E25" s="250">
        <f>'Reduced Truck Emissions'!AZ26*Inputs!$B$72</f>
        <v>303019.87625871395</v>
      </c>
      <c r="F25" s="250">
        <f t="shared" si="0"/>
        <v>589057.7325637165</v>
      </c>
      <c r="G25" s="241">
        <f>F25/((1+Inputs!$B$6)^(B25-Inputs!$B$10))</f>
        <v>298470.692438741</v>
      </c>
      <c r="H25" s="248">
        <f>F25/((1+Inputs!$B$5)^(B25-Inputs!$B$10))</f>
        <v>124259.89279471345</v>
      </c>
    </row>
    <row r="26" spans="1:8" ht="12">
      <c r="A26" s="247">
        <v>22</v>
      </c>
      <c r="B26" s="242">
        <v>2042</v>
      </c>
      <c r="C26" s="250">
        <f>'Reduced Truck Emissions'!AW27*Inputs!$B$71</f>
        <v>282489.27585521754</v>
      </c>
      <c r="D26" s="250">
        <f>'Reduced Truck Emissions'!AX27*Inputs!$B$70</f>
        <v>3548.580449784961</v>
      </c>
      <c r="E26" s="250">
        <f>'Reduced Truck Emissions'!AZ27*Inputs!$B$72</f>
        <v>303019.87625871395</v>
      </c>
      <c r="F26" s="250">
        <f t="shared" si="0"/>
        <v>589057.7325637165</v>
      </c>
      <c r="G26" s="241">
        <f>F26/((1+Inputs!$B$6)^(B26-Inputs!$B$10))</f>
        <v>289777.37129974854</v>
      </c>
      <c r="H26" s="248">
        <f>F26/((1+Inputs!$B$5)^(B26-Inputs!$B$10))</f>
        <v>116130.74092963873</v>
      </c>
    </row>
    <row r="27" spans="1:8" ht="12">
      <c r="A27" s="247">
        <v>23</v>
      </c>
      <c r="B27" s="242">
        <v>2043</v>
      </c>
      <c r="C27" s="250">
        <f>'Reduced Truck Emissions'!AW28*Inputs!$B$71</f>
        <v>282489.27585521754</v>
      </c>
      <c r="D27" s="250">
        <f>'Reduced Truck Emissions'!AX28*Inputs!$B$70</f>
        <v>3548.580449784961</v>
      </c>
      <c r="E27" s="250">
        <f>'Reduced Truck Emissions'!AZ28*Inputs!$B$72</f>
        <v>303019.87625871395</v>
      </c>
      <c r="F27" s="250">
        <f t="shared" si="0"/>
        <v>589057.7325637165</v>
      </c>
      <c r="G27" s="241">
        <f>F27/((1+Inputs!$B$6)^(B27-Inputs!$B$10))</f>
        <v>281337.2536890763</v>
      </c>
      <c r="H27" s="248">
        <f>F27/((1+Inputs!$B$5)^(B27-Inputs!$B$10))</f>
        <v>108533.40273798013</v>
      </c>
    </row>
    <row r="28" spans="1:8" ht="12">
      <c r="A28" s="247">
        <v>24</v>
      </c>
      <c r="B28" s="242">
        <v>2044</v>
      </c>
      <c r="C28" s="250">
        <f>'Reduced Truck Emissions'!AW29*Inputs!$B$71</f>
        <v>282489.27585521754</v>
      </c>
      <c r="D28" s="250">
        <f>'Reduced Truck Emissions'!AX29*Inputs!$B$70</f>
        <v>3548.580449784961</v>
      </c>
      <c r="E28" s="250">
        <f>'Reduced Truck Emissions'!AZ29*Inputs!$B$72</f>
        <v>303019.87625871395</v>
      </c>
      <c r="F28" s="250">
        <f t="shared" si="0"/>
        <v>589057.7325637165</v>
      </c>
      <c r="G28" s="241">
        <f>F28/((1+Inputs!$B$6)^(B28-Inputs!$B$10))</f>
        <v>273142.964746676</v>
      </c>
      <c r="H28" s="248">
        <f>F28/((1+Inputs!$B$5)^(B28-Inputs!$B$10))</f>
        <v>101433.08667100947</v>
      </c>
    </row>
    <row r="29" spans="1:8" ht="12">
      <c r="A29" s="247">
        <v>25</v>
      </c>
      <c r="B29" s="242">
        <v>2045</v>
      </c>
      <c r="C29" s="250">
        <f>'Reduced Truck Emissions'!AW30*Inputs!$B$71</f>
        <v>282489.27585521754</v>
      </c>
      <c r="D29" s="250">
        <f>'Reduced Truck Emissions'!AX30*Inputs!$B$70</f>
        <v>3548.580449784961</v>
      </c>
      <c r="E29" s="250">
        <f>'Reduced Truck Emissions'!AZ30*Inputs!$B$72</f>
        <v>303019.87625871395</v>
      </c>
      <c r="F29" s="250">
        <f t="shared" si="0"/>
        <v>589057.7325637165</v>
      </c>
      <c r="G29" s="241">
        <f>F29/((1+Inputs!$B$6)^(B29-Inputs!$B$10))</f>
        <v>265187.34441424854</v>
      </c>
      <c r="H29" s="248">
        <f>F29/((1+Inputs!$B$5)^(B29-Inputs!$B$10))</f>
        <v>94797.27726262565</v>
      </c>
    </row>
    <row r="30" spans="1:8" ht="12">
      <c r="A30" s="247">
        <v>26</v>
      </c>
      <c r="B30" s="242">
        <v>2046</v>
      </c>
      <c r="C30" s="250">
        <f>'Reduced Truck Emissions'!AW31*Inputs!$B$71</f>
        <v>282489.27585521754</v>
      </c>
      <c r="D30" s="250">
        <f>'Reduced Truck Emissions'!AX31*Inputs!$B$70</f>
        <v>3548.580449784961</v>
      </c>
      <c r="E30" s="250">
        <f>'Reduced Truck Emissions'!AZ31*Inputs!$B$72</f>
        <v>303019.87625871395</v>
      </c>
      <c r="F30" s="250">
        <f t="shared" si="0"/>
        <v>589057.7325637165</v>
      </c>
      <c r="G30" s="241">
        <f>F30/((1+Inputs!$B$6)^(B30-Inputs!$B$10))</f>
        <v>257463.4411788821</v>
      </c>
      <c r="H30" s="248">
        <f>F30/((1+Inputs!$B$5)^(B30-Inputs!$B$10))</f>
        <v>88595.58622675296</v>
      </c>
    </row>
    <row r="31" spans="1:8" ht="12">
      <c r="A31" s="247">
        <v>27</v>
      </c>
      <c r="B31" s="242">
        <v>2047</v>
      </c>
      <c r="C31" s="250">
        <f>'Reduced Truck Emissions'!AW32*Inputs!$B$71</f>
        <v>282489.27585521754</v>
      </c>
      <c r="D31" s="250">
        <f>'Reduced Truck Emissions'!AX32*Inputs!$B$70</f>
        <v>3548.580449784961</v>
      </c>
      <c r="E31" s="250">
        <f>'Reduced Truck Emissions'!AZ32*Inputs!$B$72</f>
        <v>303019.87625871395</v>
      </c>
      <c r="F31" s="250">
        <f t="shared" si="0"/>
        <v>589057.7325637165</v>
      </c>
      <c r="G31" s="241">
        <f>F31/((1+Inputs!$B$6)^(B31-Inputs!$B$10))</f>
        <v>249964.50599891465</v>
      </c>
      <c r="H31" s="248">
        <f>F31/((1+Inputs!$B$5)^(B31-Inputs!$B$10))</f>
        <v>82799.6132960308</v>
      </c>
    </row>
    <row r="32" spans="1:8" ht="12">
      <c r="A32" s="247">
        <v>28</v>
      </c>
      <c r="B32" s="242">
        <v>2048</v>
      </c>
      <c r="C32" s="250">
        <f>'Reduced Truck Emissions'!AW33*Inputs!$B$71</f>
        <v>282489.27585521754</v>
      </c>
      <c r="D32" s="250">
        <f>'Reduced Truck Emissions'!AX33*Inputs!$B$70</f>
        <v>3548.580449784961</v>
      </c>
      <c r="E32" s="250">
        <f>'Reduced Truck Emissions'!AZ33*Inputs!$B$72</f>
        <v>303019.87625871395</v>
      </c>
      <c r="F32" s="250">
        <f t="shared" si="0"/>
        <v>589057.7325637165</v>
      </c>
      <c r="G32" s="241">
        <f>F32/((1+Inputs!$B$6)^(B32-Inputs!$B$10))</f>
        <v>242683.98640671326</v>
      </c>
      <c r="H32" s="248">
        <f>F32/((1+Inputs!$B$5)^(B32-Inputs!$B$10))</f>
        <v>77382.81616451478</v>
      </c>
    </row>
    <row r="33" spans="1:8" ht="12">
      <c r="A33" s="247">
        <v>29</v>
      </c>
      <c r="B33" s="242">
        <v>2049</v>
      </c>
      <c r="C33" s="250">
        <f>'Reduced Truck Emissions'!AW34*Inputs!$B$71</f>
        <v>282489.27585521754</v>
      </c>
      <c r="D33" s="250">
        <f>'Reduced Truck Emissions'!AX34*Inputs!$B$70</f>
        <v>3548.580449784961</v>
      </c>
      <c r="E33" s="250">
        <f>'Reduced Truck Emissions'!AZ34*Inputs!$B$72</f>
        <v>303019.87625871395</v>
      </c>
      <c r="F33" s="250">
        <f t="shared" si="0"/>
        <v>589057.7325637165</v>
      </c>
      <c r="G33" s="241">
        <f>F33/((1+Inputs!$B$6)^(B33-Inputs!$B$10))</f>
        <v>235615.52078321672</v>
      </c>
      <c r="H33" s="248">
        <f>F33/((1+Inputs!$B$5)^(B33-Inputs!$B$10))</f>
        <v>72320.38893879885</v>
      </c>
    </row>
    <row r="34" spans="1:8" ht="12">
      <c r="A34" s="247">
        <v>30</v>
      </c>
      <c r="B34" s="242">
        <v>2050</v>
      </c>
      <c r="C34" s="250">
        <f>'Reduced Truck Emissions'!AW35*Inputs!$B$71</f>
        <v>282486.4211391022</v>
      </c>
      <c r="D34" s="250">
        <f>'Reduced Truck Emissions'!AX35*Inputs!$B$70</f>
        <v>3548.544592097849</v>
      </c>
      <c r="E34" s="250">
        <f>'Reduced Truck Emissions'!AZ35*Inputs!$B$72</f>
        <v>303016.8215643676</v>
      </c>
      <c r="F34" s="250">
        <f>SUM(C34:E34)</f>
        <v>589051.7872955677</v>
      </c>
      <c r="G34" s="241">
        <f>F34/((1+Inputs!$B$6)^(B34-Inputs!$B$10))</f>
        <v>228750.62403143954</v>
      </c>
      <c r="H34" s="248">
        <f>F34/((1+Inputs!$B$5)^(B34-Inputs!$B$10))</f>
        <v>67588.46637416136</v>
      </c>
    </row>
    <row r="35" spans="1:8" ht="12.75" thickBot="1">
      <c r="A35" s="637" t="s">
        <v>0</v>
      </c>
      <c r="B35" s="638"/>
      <c r="C35" s="251">
        <f aca="true" t="shared" si="1" ref="C35:H35">SUM(C3:C34)</f>
        <v>8474675.420940405</v>
      </c>
      <c r="D35" s="251">
        <f t="shared" si="1"/>
        <v>106457.36761932705</v>
      </c>
      <c r="E35" s="251">
        <f t="shared" si="1"/>
        <v>9090592.771578185</v>
      </c>
      <c r="F35" s="251">
        <f t="shared" si="1"/>
        <v>17671725.56013793</v>
      </c>
      <c r="G35" s="251">
        <f t="shared" si="1"/>
        <v>10883013.118757285</v>
      </c>
      <c r="H35" s="252">
        <f t="shared" si="1"/>
        <v>6384523.024130995</v>
      </c>
    </row>
    <row r="36" ht="12.75" thickBot="1"/>
    <row r="37" spans="1:8" ht="72">
      <c r="A37" s="243" t="s">
        <v>64</v>
      </c>
      <c r="B37" s="239" t="s">
        <v>1</v>
      </c>
      <c r="C37" s="244" t="s">
        <v>362</v>
      </c>
      <c r="D37" s="244" t="s">
        <v>361</v>
      </c>
      <c r="E37" s="244" t="s">
        <v>359</v>
      </c>
      <c r="F37" s="244" t="s">
        <v>360</v>
      </c>
      <c r="G37" s="244" t="s">
        <v>357</v>
      </c>
      <c r="H37" s="245" t="s">
        <v>358</v>
      </c>
    </row>
    <row r="38" spans="1:8" ht="12">
      <c r="A38" s="247">
        <v>-2</v>
      </c>
      <c r="B38" s="240">
        <v>2018</v>
      </c>
      <c r="C38" s="241">
        <f aca="true" t="shared" si="2" ref="C38:H38">ROUND(C2,-3)</f>
        <v>0</v>
      </c>
      <c r="D38" s="241">
        <f t="shared" si="2"/>
        <v>0</v>
      </c>
      <c r="E38" s="241">
        <f t="shared" si="2"/>
        <v>0</v>
      </c>
      <c r="F38" s="241">
        <f t="shared" si="2"/>
        <v>0</v>
      </c>
      <c r="G38" s="241">
        <f t="shared" si="2"/>
        <v>0</v>
      </c>
      <c r="H38" s="248">
        <f t="shared" si="2"/>
        <v>0</v>
      </c>
    </row>
    <row r="39" spans="1:8" ht="12">
      <c r="A39" s="247">
        <v>-1</v>
      </c>
      <c r="B39" s="242">
        <v>2019</v>
      </c>
      <c r="C39" s="241">
        <f aca="true" t="shared" si="3" ref="C39:H39">ROUND(C3,-3)</f>
        <v>0</v>
      </c>
      <c r="D39" s="241">
        <f t="shared" si="3"/>
        <v>0</v>
      </c>
      <c r="E39" s="241">
        <f t="shared" si="3"/>
        <v>0</v>
      </c>
      <c r="F39" s="241">
        <f t="shared" si="3"/>
        <v>0</v>
      </c>
      <c r="G39" s="241">
        <f t="shared" si="3"/>
        <v>0</v>
      </c>
      <c r="H39" s="248">
        <f t="shared" si="3"/>
        <v>0</v>
      </c>
    </row>
    <row r="40" spans="1:8" ht="12">
      <c r="A40" s="247">
        <v>0</v>
      </c>
      <c r="B40" s="242">
        <v>2020</v>
      </c>
      <c r="C40" s="241">
        <f aca="true" t="shared" si="4" ref="C40:H40">ROUND(C4,-3)</f>
        <v>0</v>
      </c>
      <c r="D40" s="241">
        <f t="shared" si="4"/>
        <v>0</v>
      </c>
      <c r="E40" s="241">
        <f t="shared" si="4"/>
        <v>0</v>
      </c>
      <c r="F40" s="241">
        <f t="shared" si="4"/>
        <v>0</v>
      </c>
      <c r="G40" s="241">
        <f t="shared" si="4"/>
        <v>0</v>
      </c>
      <c r="H40" s="248">
        <f t="shared" si="4"/>
        <v>0</v>
      </c>
    </row>
    <row r="41" spans="1:8" ht="12">
      <c r="A41" s="247">
        <v>1</v>
      </c>
      <c r="B41" s="242">
        <v>2021</v>
      </c>
      <c r="C41" s="250">
        <f aca="true" t="shared" si="5" ref="C41:H41">ROUND(C5,-3)</f>
        <v>282000</v>
      </c>
      <c r="D41" s="250">
        <f t="shared" si="5"/>
        <v>4000</v>
      </c>
      <c r="E41" s="250">
        <f t="shared" si="5"/>
        <v>303000</v>
      </c>
      <c r="F41" s="250">
        <f t="shared" si="5"/>
        <v>589000</v>
      </c>
      <c r="G41" s="241">
        <f t="shared" si="5"/>
        <v>539000</v>
      </c>
      <c r="H41" s="248">
        <f t="shared" si="5"/>
        <v>481000</v>
      </c>
    </row>
    <row r="42" spans="1:8" ht="12">
      <c r="A42" s="247">
        <v>2</v>
      </c>
      <c r="B42" s="242">
        <v>2022</v>
      </c>
      <c r="C42" s="250">
        <f aca="true" t="shared" si="6" ref="C42:H42">ROUND(C6,-3)</f>
        <v>282000</v>
      </c>
      <c r="D42" s="250">
        <f t="shared" si="6"/>
        <v>4000</v>
      </c>
      <c r="E42" s="250">
        <f t="shared" si="6"/>
        <v>303000</v>
      </c>
      <c r="F42" s="250">
        <f t="shared" si="6"/>
        <v>589000</v>
      </c>
      <c r="G42" s="241">
        <f t="shared" si="6"/>
        <v>523000</v>
      </c>
      <c r="H42" s="248">
        <f t="shared" si="6"/>
        <v>449000</v>
      </c>
    </row>
    <row r="43" spans="1:8" ht="12">
      <c r="A43" s="247">
        <v>3</v>
      </c>
      <c r="B43" s="242">
        <v>2023</v>
      </c>
      <c r="C43" s="250">
        <f aca="true" t="shared" si="7" ref="C43:H43">ROUND(C7,-3)</f>
        <v>282000</v>
      </c>
      <c r="D43" s="250">
        <f t="shared" si="7"/>
        <v>4000</v>
      </c>
      <c r="E43" s="250">
        <f t="shared" si="7"/>
        <v>303000</v>
      </c>
      <c r="F43" s="250">
        <f t="shared" si="7"/>
        <v>589000</v>
      </c>
      <c r="G43" s="241">
        <f t="shared" si="7"/>
        <v>508000</v>
      </c>
      <c r="H43" s="248">
        <f t="shared" si="7"/>
        <v>420000</v>
      </c>
    </row>
    <row r="44" spans="1:8" ht="12">
      <c r="A44" s="247">
        <v>4</v>
      </c>
      <c r="B44" s="242">
        <v>2024</v>
      </c>
      <c r="C44" s="250">
        <f aca="true" t="shared" si="8" ref="C44:H44">ROUND(C8,-3)</f>
        <v>282000</v>
      </c>
      <c r="D44" s="250">
        <f t="shared" si="8"/>
        <v>4000</v>
      </c>
      <c r="E44" s="250">
        <f t="shared" si="8"/>
        <v>303000</v>
      </c>
      <c r="F44" s="250">
        <f t="shared" si="8"/>
        <v>589000</v>
      </c>
      <c r="G44" s="241">
        <f t="shared" si="8"/>
        <v>493000</v>
      </c>
      <c r="H44" s="248">
        <f t="shared" si="8"/>
        <v>393000</v>
      </c>
    </row>
    <row r="45" spans="1:8" ht="12">
      <c r="A45" s="247">
        <v>5</v>
      </c>
      <c r="B45" s="242">
        <v>2025</v>
      </c>
      <c r="C45" s="250">
        <f aca="true" t="shared" si="9" ref="C45:H45">ROUND(C9,-3)</f>
        <v>282000</v>
      </c>
      <c r="D45" s="250">
        <f t="shared" si="9"/>
        <v>4000</v>
      </c>
      <c r="E45" s="250">
        <f t="shared" si="9"/>
        <v>303000</v>
      </c>
      <c r="F45" s="250">
        <f t="shared" si="9"/>
        <v>589000</v>
      </c>
      <c r="G45" s="241">
        <f t="shared" si="9"/>
        <v>479000</v>
      </c>
      <c r="H45" s="248">
        <f t="shared" si="9"/>
        <v>367000</v>
      </c>
    </row>
    <row r="46" spans="1:8" ht="12">
      <c r="A46" s="247">
        <v>6</v>
      </c>
      <c r="B46" s="242">
        <v>2026</v>
      </c>
      <c r="C46" s="250">
        <f aca="true" t="shared" si="10" ref="C46:H46">ROUND(C10,-3)</f>
        <v>282000</v>
      </c>
      <c r="D46" s="250">
        <f t="shared" si="10"/>
        <v>4000</v>
      </c>
      <c r="E46" s="250">
        <f t="shared" si="10"/>
        <v>303000</v>
      </c>
      <c r="F46" s="250">
        <f t="shared" si="10"/>
        <v>589000</v>
      </c>
      <c r="G46" s="241">
        <f t="shared" si="10"/>
        <v>465000</v>
      </c>
      <c r="H46" s="248">
        <f t="shared" si="10"/>
        <v>343000</v>
      </c>
    </row>
    <row r="47" spans="1:8" ht="12">
      <c r="A47" s="247">
        <v>7</v>
      </c>
      <c r="B47" s="242">
        <v>2027</v>
      </c>
      <c r="C47" s="250">
        <f aca="true" t="shared" si="11" ref="C47:H47">ROUND(C11,-3)</f>
        <v>282000</v>
      </c>
      <c r="D47" s="250">
        <f t="shared" si="11"/>
        <v>4000</v>
      </c>
      <c r="E47" s="250">
        <f t="shared" si="11"/>
        <v>303000</v>
      </c>
      <c r="F47" s="250">
        <f t="shared" si="11"/>
        <v>589000</v>
      </c>
      <c r="G47" s="241">
        <f t="shared" si="11"/>
        <v>451000</v>
      </c>
      <c r="H47" s="248">
        <f t="shared" si="11"/>
        <v>320000</v>
      </c>
    </row>
    <row r="48" spans="1:8" ht="12">
      <c r="A48" s="247">
        <v>8</v>
      </c>
      <c r="B48" s="242">
        <v>2028</v>
      </c>
      <c r="C48" s="250">
        <f aca="true" t="shared" si="12" ref="C48:H48">ROUND(C12,-3)</f>
        <v>282000</v>
      </c>
      <c r="D48" s="250">
        <f t="shared" si="12"/>
        <v>4000</v>
      </c>
      <c r="E48" s="250">
        <f t="shared" si="12"/>
        <v>303000</v>
      </c>
      <c r="F48" s="250">
        <f t="shared" si="12"/>
        <v>589000</v>
      </c>
      <c r="G48" s="241">
        <f t="shared" si="12"/>
        <v>438000</v>
      </c>
      <c r="H48" s="248">
        <f t="shared" si="12"/>
        <v>299000</v>
      </c>
    </row>
    <row r="49" spans="1:8" ht="12">
      <c r="A49" s="247">
        <v>9</v>
      </c>
      <c r="B49" s="242">
        <v>2029</v>
      </c>
      <c r="C49" s="250">
        <f aca="true" t="shared" si="13" ref="C49:H49">ROUND(C13,-3)</f>
        <v>282000</v>
      </c>
      <c r="D49" s="250">
        <f t="shared" si="13"/>
        <v>4000</v>
      </c>
      <c r="E49" s="250">
        <f t="shared" si="13"/>
        <v>303000</v>
      </c>
      <c r="F49" s="250">
        <f t="shared" si="13"/>
        <v>589000</v>
      </c>
      <c r="G49" s="241">
        <f t="shared" si="13"/>
        <v>426000</v>
      </c>
      <c r="H49" s="248">
        <f t="shared" si="13"/>
        <v>280000</v>
      </c>
    </row>
    <row r="50" spans="1:8" ht="12">
      <c r="A50" s="247">
        <v>10</v>
      </c>
      <c r="B50" s="242">
        <v>2030</v>
      </c>
      <c r="C50" s="250">
        <f aca="true" t="shared" si="14" ref="C50:H50">ROUND(C14,-3)</f>
        <v>282000</v>
      </c>
      <c r="D50" s="250">
        <f t="shared" si="14"/>
        <v>4000</v>
      </c>
      <c r="E50" s="250">
        <f t="shared" si="14"/>
        <v>303000</v>
      </c>
      <c r="F50" s="250">
        <f t="shared" si="14"/>
        <v>589000</v>
      </c>
      <c r="G50" s="241">
        <f t="shared" si="14"/>
        <v>413000</v>
      </c>
      <c r="H50" s="248">
        <f t="shared" si="14"/>
        <v>262000</v>
      </c>
    </row>
    <row r="51" spans="1:8" ht="12">
      <c r="A51" s="247">
        <v>11</v>
      </c>
      <c r="B51" s="242">
        <v>2031</v>
      </c>
      <c r="C51" s="250">
        <f aca="true" t="shared" si="15" ref="C51:H51">ROUND(C15,-3)</f>
        <v>282000</v>
      </c>
      <c r="D51" s="250">
        <f t="shared" si="15"/>
        <v>4000</v>
      </c>
      <c r="E51" s="250">
        <f t="shared" si="15"/>
        <v>303000</v>
      </c>
      <c r="F51" s="250">
        <f t="shared" si="15"/>
        <v>589000</v>
      </c>
      <c r="G51" s="241">
        <f t="shared" si="15"/>
        <v>401000</v>
      </c>
      <c r="H51" s="248">
        <f t="shared" si="15"/>
        <v>244000</v>
      </c>
    </row>
    <row r="52" spans="1:8" ht="12">
      <c r="A52" s="247">
        <v>12</v>
      </c>
      <c r="B52" s="242">
        <v>2032</v>
      </c>
      <c r="C52" s="250">
        <f aca="true" t="shared" si="16" ref="C52:H52">ROUND(C16,-3)</f>
        <v>282000</v>
      </c>
      <c r="D52" s="250">
        <f t="shared" si="16"/>
        <v>4000</v>
      </c>
      <c r="E52" s="250">
        <f t="shared" si="16"/>
        <v>303000</v>
      </c>
      <c r="F52" s="250">
        <f t="shared" si="16"/>
        <v>589000</v>
      </c>
      <c r="G52" s="241">
        <f t="shared" si="16"/>
        <v>389000</v>
      </c>
      <c r="H52" s="248">
        <f t="shared" si="16"/>
        <v>228000</v>
      </c>
    </row>
    <row r="53" spans="1:8" ht="12">
      <c r="A53" s="247">
        <v>13</v>
      </c>
      <c r="B53" s="242">
        <v>2033</v>
      </c>
      <c r="C53" s="250">
        <f aca="true" t="shared" si="17" ref="C53:H53">ROUND(C17,-3)</f>
        <v>282000</v>
      </c>
      <c r="D53" s="250">
        <f t="shared" si="17"/>
        <v>4000</v>
      </c>
      <c r="E53" s="250">
        <f t="shared" si="17"/>
        <v>303000</v>
      </c>
      <c r="F53" s="250">
        <f t="shared" si="17"/>
        <v>589000</v>
      </c>
      <c r="G53" s="241">
        <f t="shared" si="17"/>
        <v>378000</v>
      </c>
      <c r="H53" s="248">
        <f t="shared" si="17"/>
        <v>214000</v>
      </c>
    </row>
    <row r="54" spans="1:8" ht="12">
      <c r="A54" s="247">
        <v>14</v>
      </c>
      <c r="B54" s="242">
        <v>2034</v>
      </c>
      <c r="C54" s="250">
        <f aca="true" t="shared" si="18" ref="C54:H54">ROUND(C18,-3)</f>
        <v>282000</v>
      </c>
      <c r="D54" s="250">
        <f t="shared" si="18"/>
        <v>4000</v>
      </c>
      <c r="E54" s="250">
        <f t="shared" si="18"/>
        <v>303000</v>
      </c>
      <c r="F54" s="250">
        <f t="shared" si="18"/>
        <v>589000</v>
      </c>
      <c r="G54" s="241">
        <f t="shared" si="18"/>
        <v>367000</v>
      </c>
      <c r="H54" s="248">
        <f t="shared" si="18"/>
        <v>200000</v>
      </c>
    </row>
    <row r="55" spans="1:8" ht="12">
      <c r="A55" s="247">
        <v>15</v>
      </c>
      <c r="B55" s="242">
        <v>2035</v>
      </c>
      <c r="C55" s="250">
        <f aca="true" t="shared" si="19" ref="C55:H55">ROUND(C19,-3)</f>
        <v>282000</v>
      </c>
      <c r="D55" s="250">
        <f t="shared" si="19"/>
        <v>4000</v>
      </c>
      <c r="E55" s="250">
        <f t="shared" si="19"/>
        <v>303000</v>
      </c>
      <c r="F55" s="250">
        <f t="shared" si="19"/>
        <v>589000</v>
      </c>
      <c r="G55" s="241">
        <f t="shared" si="19"/>
        <v>356000</v>
      </c>
      <c r="H55" s="248">
        <f t="shared" si="19"/>
        <v>186000</v>
      </c>
    </row>
    <row r="56" spans="1:8" ht="12">
      <c r="A56" s="247">
        <v>16</v>
      </c>
      <c r="B56" s="242">
        <v>2036</v>
      </c>
      <c r="C56" s="250">
        <f aca="true" t="shared" si="20" ref="C56:H56">ROUND(C20,-3)</f>
        <v>282000</v>
      </c>
      <c r="D56" s="250">
        <f t="shared" si="20"/>
        <v>4000</v>
      </c>
      <c r="E56" s="250">
        <f t="shared" si="20"/>
        <v>303000</v>
      </c>
      <c r="F56" s="250">
        <f t="shared" si="20"/>
        <v>589000</v>
      </c>
      <c r="G56" s="241">
        <f t="shared" si="20"/>
        <v>346000</v>
      </c>
      <c r="H56" s="248">
        <f t="shared" si="20"/>
        <v>174000</v>
      </c>
    </row>
    <row r="57" spans="1:8" ht="12">
      <c r="A57" s="247">
        <v>17</v>
      </c>
      <c r="B57" s="242">
        <v>2037</v>
      </c>
      <c r="C57" s="250">
        <f aca="true" t="shared" si="21" ref="C57:H57">ROUND(C21,-3)</f>
        <v>282000</v>
      </c>
      <c r="D57" s="250">
        <f t="shared" si="21"/>
        <v>4000</v>
      </c>
      <c r="E57" s="250">
        <f t="shared" si="21"/>
        <v>303000</v>
      </c>
      <c r="F57" s="250">
        <f t="shared" si="21"/>
        <v>589000</v>
      </c>
      <c r="G57" s="241">
        <f t="shared" si="21"/>
        <v>336000</v>
      </c>
      <c r="H57" s="248">
        <f t="shared" si="21"/>
        <v>163000</v>
      </c>
    </row>
    <row r="58" spans="1:8" ht="12">
      <c r="A58" s="247">
        <v>18</v>
      </c>
      <c r="B58" s="242">
        <v>2038</v>
      </c>
      <c r="C58" s="250">
        <f aca="true" t="shared" si="22" ref="C58:H58">ROUND(C22,-3)</f>
        <v>282000</v>
      </c>
      <c r="D58" s="250">
        <f t="shared" si="22"/>
        <v>4000</v>
      </c>
      <c r="E58" s="250">
        <f t="shared" si="22"/>
        <v>303000</v>
      </c>
      <c r="F58" s="250">
        <f t="shared" si="22"/>
        <v>589000</v>
      </c>
      <c r="G58" s="241">
        <f t="shared" si="22"/>
        <v>326000</v>
      </c>
      <c r="H58" s="248">
        <f t="shared" si="22"/>
        <v>152000</v>
      </c>
    </row>
    <row r="59" spans="1:8" ht="12">
      <c r="A59" s="247">
        <v>19</v>
      </c>
      <c r="B59" s="242">
        <v>2039</v>
      </c>
      <c r="C59" s="250">
        <f aca="true" t="shared" si="23" ref="C59:H59">ROUND(C23,-3)</f>
        <v>282000</v>
      </c>
      <c r="D59" s="250">
        <f t="shared" si="23"/>
        <v>4000</v>
      </c>
      <c r="E59" s="250">
        <f t="shared" si="23"/>
        <v>303000</v>
      </c>
      <c r="F59" s="250">
        <f t="shared" si="23"/>
        <v>589000</v>
      </c>
      <c r="G59" s="241">
        <f t="shared" si="23"/>
        <v>317000</v>
      </c>
      <c r="H59" s="248">
        <f t="shared" si="23"/>
        <v>142000</v>
      </c>
    </row>
    <row r="60" spans="1:8" ht="12">
      <c r="A60" s="247">
        <v>20</v>
      </c>
      <c r="B60" s="242">
        <v>2040</v>
      </c>
      <c r="C60" s="250">
        <f aca="true" t="shared" si="24" ref="C60:H60">ROUND(C24,-3)</f>
        <v>282000</v>
      </c>
      <c r="D60" s="250">
        <f t="shared" si="24"/>
        <v>4000</v>
      </c>
      <c r="E60" s="250">
        <f t="shared" si="24"/>
        <v>303000</v>
      </c>
      <c r="F60" s="250">
        <f t="shared" si="24"/>
        <v>589000</v>
      </c>
      <c r="G60" s="241">
        <f t="shared" si="24"/>
        <v>307000</v>
      </c>
      <c r="H60" s="248">
        <f t="shared" si="24"/>
        <v>133000</v>
      </c>
    </row>
    <row r="61" spans="1:8" ht="12">
      <c r="A61" s="247">
        <v>21</v>
      </c>
      <c r="B61" s="242">
        <v>2041</v>
      </c>
      <c r="C61" s="250">
        <f aca="true" t="shared" si="25" ref="C61:H61">ROUND(C25,-3)</f>
        <v>282000</v>
      </c>
      <c r="D61" s="250">
        <f t="shared" si="25"/>
        <v>4000</v>
      </c>
      <c r="E61" s="250">
        <f t="shared" si="25"/>
        <v>303000</v>
      </c>
      <c r="F61" s="250">
        <f t="shared" si="25"/>
        <v>589000</v>
      </c>
      <c r="G61" s="241">
        <f t="shared" si="25"/>
        <v>298000</v>
      </c>
      <c r="H61" s="248">
        <f t="shared" si="25"/>
        <v>124000</v>
      </c>
    </row>
    <row r="62" spans="1:8" ht="12">
      <c r="A62" s="247">
        <v>22</v>
      </c>
      <c r="B62" s="242">
        <v>2042</v>
      </c>
      <c r="C62" s="250">
        <f aca="true" t="shared" si="26" ref="C62:H62">ROUND(C26,-3)</f>
        <v>282000</v>
      </c>
      <c r="D62" s="250">
        <f t="shared" si="26"/>
        <v>4000</v>
      </c>
      <c r="E62" s="250">
        <f t="shared" si="26"/>
        <v>303000</v>
      </c>
      <c r="F62" s="250">
        <f t="shared" si="26"/>
        <v>589000</v>
      </c>
      <c r="G62" s="241">
        <f t="shared" si="26"/>
        <v>290000</v>
      </c>
      <c r="H62" s="248">
        <f t="shared" si="26"/>
        <v>116000</v>
      </c>
    </row>
    <row r="63" spans="1:8" ht="12">
      <c r="A63" s="247">
        <v>23</v>
      </c>
      <c r="B63" s="242">
        <v>2043</v>
      </c>
      <c r="C63" s="250">
        <f aca="true" t="shared" si="27" ref="C63:H63">ROUND(C27,-3)</f>
        <v>282000</v>
      </c>
      <c r="D63" s="250">
        <f t="shared" si="27"/>
        <v>4000</v>
      </c>
      <c r="E63" s="250">
        <f t="shared" si="27"/>
        <v>303000</v>
      </c>
      <c r="F63" s="250">
        <f t="shared" si="27"/>
        <v>589000</v>
      </c>
      <c r="G63" s="241">
        <f t="shared" si="27"/>
        <v>281000</v>
      </c>
      <c r="H63" s="248">
        <f t="shared" si="27"/>
        <v>109000</v>
      </c>
    </row>
    <row r="64" spans="1:8" ht="12">
      <c r="A64" s="247">
        <v>24</v>
      </c>
      <c r="B64" s="242">
        <v>2044</v>
      </c>
      <c r="C64" s="250">
        <f aca="true" t="shared" si="28" ref="C64:H64">ROUND(C28,-3)</f>
        <v>282000</v>
      </c>
      <c r="D64" s="250">
        <f t="shared" si="28"/>
        <v>4000</v>
      </c>
      <c r="E64" s="250">
        <f t="shared" si="28"/>
        <v>303000</v>
      </c>
      <c r="F64" s="250">
        <f t="shared" si="28"/>
        <v>589000</v>
      </c>
      <c r="G64" s="241">
        <f t="shared" si="28"/>
        <v>273000</v>
      </c>
      <c r="H64" s="248">
        <f t="shared" si="28"/>
        <v>101000</v>
      </c>
    </row>
    <row r="65" spans="1:8" ht="12">
      <c r="A65" s="247">
        <v>25</v>
      </c>
      <c r="B65" s="242">
        <v>2045</v>
      </c>
      <c r="C65" s="250">
        <f aca="true" t="shared" si="29" ref="C65:H65">ROUND(C29,-3)</f>
        <v>282000</v>
      </c>
      <c r="D65" s="250">
        <f t="shared" si="29"/>
        <v>4000</v>
      </c>
      <c r="E65" s="250">
        <f t="shared" si="29"/>
        <v>303000</v>
      </c>
      <c r="F65" s="250">
        <f t="shared" si="29"/>
        <v>589000</v>
      </c>
      <c r="G65" s="241">
        <f t="shared" si="29"/>
        <v>265000</v>
      </c>
      <c r="H65" s="248">
        <f t="shared" si="29"/>
        <v>95000</v>
      </c>
    </row>
    <row r="66" spans="1:8" ht="12">
      <c r="A66" s="247">
        <v>26</v>
      </c>
      <c r="B66" s="242">
        <v>2046</v>
      </c>
      <c r="C66" s="250">
        <f aca="true" t="shared" si="30" ref="C66:H66">ROUND(C30,-3)</f>
        <v>282000</v>
      </c>
      <c r="D66" s="250">
        <f t="shared" si="30"/>
        <v>4000</v>
      </c>
      <c r="E66" s="250">
        <f t="shared" si="30"/>
        <v>303000</v>
      </c>
      <c r="F66" s="250">
        <f t="shared" si="30"/>
        <v>589000</v>
      </c>
      <c r="G66" s="241">
        <f t="shared" si="30"/>
        <v>257000</v>
      </c>
      <c r="H66" s="248">
        <f t="shared" si="30"/>
        <v>89000</v>
      </c>
    </row>
    <row r="67" spans="1:8" ht="12">
      <c r="A67" s="247">
        <v>27</v>
      </c>
      <c r="B67" s="242">
        <v>2047</v>
      </c>
      <c r="C67" s="250">
        <f aca="true" t="shared" si="31" ref="C67:H67">ROUND(C31,-3)</f>
        <v>282000</v>
      </c>
      <c r="D67" s="250">
        <f t="shared" si="31"/>
        <v>4000</v>
      </c>
      <c r="E67" s="250">
        <f t="shared" si="31"/>
        <v>303000</v>
      </c>
      <c r="F67" s="250">
        <f t="shared" si="31"/>
        <v>589000</v>
      </c>
      <c r="G67" s="241">
        <f t="shared" si="31"/>
        <v>250000</v>
      </c>
      <c r="H67" s="248">
        <f t="shared" si="31"/>
        <v>83000</v>
      </c>
    </row>
    <row r="68" spans="1:8" ht="12">
      <c r="A68" s="247">
        <v>28</v>
      </c>
      <c r="B68" s="242">
        <v>2048</v>
      </c>
      <c r="C68" s="250">
        <f aca="true" t="shared" si="32" ref="C68:H68">ROUND(C32,-3)</f>
        <v>282000</v>
      </c>
      <c r="D68" s="250">
        <f t="shared" si="32"/>
        <v>4000</v>
      </c>
      <c r="E68" s="250">
        <f t="shared" si="32"/>
        <v>303000</v>
      </c>
      <c r="F68" s="250">
        <f t="shared" si="32"/>
        <v>589000</v>
      </c>
      <c r="G68" s="241">
        <f t="shared" si="32"/>
        <v>243000</v>
      </c>
      <c r="H68" s="248">
        <f t="shared" si="32"/>
        <v>77000</v>
      </c>
    </row>
    <row r="69" spans="1:8" ht="12">
      <c r="A69" s="247">
        <v>29</v>
      </c>
      <c r="B69" s="242">
        <v>2049</v>
      </c>
      <c r="C69" s="250">
        <f aca="true" t="shared" si="33" ref="C69:H69">ROUND(C33,-3)</f>
        <v>282000</v>
      </c>
      <c r="D69" s="250">
        <f t="shared" si="33"/>
        <v>4000</v>
      </c>
      <c r="E69" s="250">
        <f t="shared" si="33"/>
        <v>303000</v>
      </c>
      <c r="F69" s="250">
        <f t="shared" si="33"/>
        <v>589000</v>
      </c>
      <c r="G69" s="241">
        <f t="shared" si="33"/>
        <v>236000</v>
      </c>
      <c r="H69" s="248">
        <f t="shared" si="33"/>
        <v>72000</v>
      </c>
    </row>
    <row r="70" spans="1:8" ht="12">
      <c r="A70" s="247">
        <v>30</v>
      </c>
      <c r="B70" s="242">
        <v>2050</v>
      </c>
      <c r="C70" s="250">
        <f aca="true" t="shared" si="34" ref="C70:H70">ROUND(C34,-3)</f>
        <v>282000</v>
      </c>
      <c r="D70" s="250">
        <f t="shared" si="34"/>
        <v>4000</v>
      </c>
      <c r="E70" s="250">
        <f t="shared" si="34"/>
        <v>303000</v>
      </c>
      <c r="F70" s="250">
        <f t="shared" si="34"/>
        <v>589000</v>
      </c>
      <c r="G70" s="241">
        <f t="shared" si="34"/>
        <v>229000</v>
      </c>
      <c r="H70" s="248">
        <f t="shared" si="34"/>
        <v>68000</v>
      </c>
    </row>
    <row r="71" spans="1:8" ht="12.75" thickBot="1">
      <c r="A71" s="637" t="s">
        <v>0</v>
      </c>
      <c r="B71" s="638"/>
      <c r="C71" s="251">
        <f aca="true" t="shared" si="35" ref="C71:H71">ROUND(C35,-3)</f>
        <v>8475000</v>
      </c>
      <c r="D71" s="251">
        <f t="shared" si="35"/>
        <v>106000</v>
      </c>
      <c r="E71" s="251">
        <f t="shared" si="35"/>
        <v>9091000</v>
      </c>
      <c r="F71" s="251">
        <f t="shared" si="35"/>
        <v>17672000</v>
      </c>
      <c r="G71" s="251">
        <f t="shared" si="35"/>
        <v>10883000</v>
      </c>
      <c r="H71" s="252">
        <f t="shared" si="35"/>
        <v>6385000</v>
      </c>
    </row>
  </sheetData>
  <sheetProtection/>
  <mergeCells count="2">
    <mergeCell ref="A35:B35"/>
    <mergeCell ref="A71:B71"/>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pageSetUpPr fitToPage="1"/>
  </sheetPr>
  <dimension ref="B2:Q88"/>
  <sheetViews>
    <sheetView zoomScale="70" zoomScaleNormal="70" zoomScalePageLayoutView="0" workbookViewId="0" topLeftCell="A1">
      <selection activeCell="B8" sqref="B8"/>
    </sheetView>
  </sheetViews>
  <sheetFormatPr defaultColWidth="9.140625" defaultRowHeight="12.75"/>
  <cols>
    <col min="1" max="1" width="9.140625" style="80" customWidth="1"/>
    <col min="2" max="2" width="41.140625" style="80" customWidth="1"/>
    <col min="3" max="3" width="13.140625" style="80" customWidth="1"/>
    <col min="4" max="4" width="13.421875" style="80" customWidth="1"/>
    <col min="5" max="5" width="16.00390625" style="80" bestFit="1" customWidth="1"/>
    <col min="6" max="6" width="17.140625" style="80" bestFit="1" customWidth="1"/>
    <col min="7" max="7" width="14.421875" style="80" bestFit="1" customWidth="1"/>
    <col min="8" max="8" width="14.57421875" style="80" bestFit="1" customWidth="1"/>
    <col min="9" max="9" width="9.140625" style="80" customWidth="1"/>
    <col min="10" max="10" width="39.57421875" style="80" customWidth="1"/>
    <col min="11" max="11" width="14.7109375" style="238" customWidth="1"/>
    <col min="12" max="12" width="15.7109375" style="80" bestFit="1" customWidth="1"/>
    <col min="13" max="13" width="15.7109375" style="80" customWidth="1"/>
    <col min="14" max="14" width="16.8515625" style="80" bestFit="1" customWidth="1"/>
    <col min="15" max="17" width="16.8515625" style="80" customWidth="1"/>
    <col min="18" max="18" width="18.28125" style="80" customWidth="1"/>
    <col min="19" max="19" width="15.00390625" style="238" customWidth="1"/>
    <col min="20" max="20" width="13.7109375" style="238" customWidth="1"/>
    <col min="21" max="21" width="16.00390625" style="238" customWidth="1"/>
    <col min="22" max="16384" width="9.140625" style="80" customWidth="1"/>
  </cols>
  <sheetData>
    <row r="1" ht="12.75" thickBot="1"/>
    <row r="2" spans="2:11" ht="12">
      <c r="B2" s="683" t="s">
        <v>205</v>
      </c>
      <c r="C2" s="684"/>
      <c r="D2" s="684"/>
      <c r="E2" s="684"/>
      <c r="F2" s="685"/>
      <c r="J2" s="536" t="s">
        <v>513</v>
      </c>
      <c r="K2" s="537"/>
    </row>
    <row r="3" spans="2:11" ht="24.75" thickBot="1">
      <c r="B3" s="284" t="s">
        <v>104</v>
      </c>
      <c r="C3" s="285" t="s">
        <v>105</v>
      </c>
      <c r="D3" s="285" t="s">
        <v>106</v>
      </c>
      <c r="E3" s="286" t="s">
        <v>107</v>
      </c>
      <c r="F3" s="287" t="s">
        <v>108</v>
      </c>
      <c r="J3" s="538" t="s">
        <v>514</v>
      </c>
      <c r="K3" s="236"/>
    </row>
    <row r="4" spans="2:11" ht="15.75" customHeight="1">
      <c r="B4" s="686" t="s">
        <v>151</v>
      </c>
      <c r="C4" s="687"/>
      <c r="D4" s="687"/>
      <c r="E4" s="687"/>
      <c r="F4" s="688"/>
      <c r="J4" s="538" t="s">
        <v>515</v>
      </c>
      <c r="K4" s="236"/>
    </row>
    <row r="5" spans="2:11" ht="12">
      <c r="B5" s="288" t="s">
        <v>109</v>
      </c>
      <c r="C5" s="289">
        <v>1</v>
      </c>
      <c r="D5" s="289" t="s">
        <v>110</v>
      </c>
      <c r="E5" s="290">
        <v>238853</v>
      </c>
      <c r="F5" s="291">
        <v>239000</v>
      </c>
      <c r="J5" s="538" t="s">
        <v>516</v>
      </c>
      <c r="K5" s="236">
        <f>SUM(F13,F18,F31,F40)</f>
        <v>2774255</v>
      </c>
    </row>
    <row r="6" spans="2:11" ht="12">
      <c r="B6" s="288" t="s">
        <v>111</v>
      </c>
      <c r="C6" s="289">
        <v>160</v>
      </c>
      <c r="D6" s="289" t="s">
        <v>112</v>
      </c>
      <c r="E6" s="290">
        <v>13812</v>
      </c>
      <c r="F6" s="291">
        <v>2210000</v>
      </c>
      <c r="G6" s="99"/>
      <c r="J6" s="538" t="s">
        <v>517</v>
      </c>
      <c r="K6" s="236"/>
    </row>
    <row r="7" spans="2:11" ht="12">
      <c r="B7" s="288" t="s">
        <v>113</v>
      </c>
      <c r="C7" s="289">
        <v>1</v>
      </c>
      <c r="D7" s="289" t="s">
        <v>112</v>
      </c>
      <c r="E7" s="290">
        <v>724060</v>
      </c>
      <c r="F7" s="291">
        <v>724000</v>
      </c>
      <c r="G7" s="99"/>
      <c r="J7" s="538" t="s">
        <v>518</v>
      </c>
      <c r="K7" s="236"/>
    </row>
    <row r="8" spans="2:11" ht="12">
      <c r="B8" s="288" t="s">
        <v>114</v>
      </c>
      <c r="C8" s="289">
        <v>15</v>
      </c>
      <c r="D8" s="289" t="s">
        <v>112</v>
      </c>
      <c r="E8" s="290">
        <v>103217</v>
      </c>
      <c r="F8" s="291">
        <v>1548000</v>
      </c>
      <c r="G8" s="99"/>
      <c r="J8" s="538" t="s">
        <v>519</v>
      </c>
      <c r="K8" s="236"/>
    </row>
    <row r="9" spans="2:11" ht="12">
      <c r="B9" s="288" t="s">
        <v>115</v>
      </c>
      <c r="C9" s="289">
        <v>1</v>
      </c>
      <c r="D9" s="289" t="s">
        <v>112</v>
      </c>
      <c r="E9" s="290">
        <v>1445422</v>
      </c>
      <c r="F9" s="291">
        <v>1445000</v>
      </c>
      <c r="G9" s="99"/>
      <c r="J9" s="538" t="s">
        <v>520</v>
      </c>
      <c r="K9" s="236"/>
    </row>
    <row r="10" spans="2:11" ht="12">
      <c r="B10" s="288" t="s">
        <v>116</v>
      </c>
      <c r="C10" s="289">
        <v>1</v>
      </c>
      <c r="D10" s="289" t="s">
        <v>110</v>
      </c>
      <c r="E10" s="290">
        <v>568126</v>
      </c>
      <c r="F10" s="291">
        <v>568000</v>
      </c>
      <c r="G10" s="99"/>
      <c r="J10" s="538" t="s">
        <v>124</v>
      </c>
      <c r="K10" s="236">
        <f>SUM(F5:F10,F15,F24:F28,F34:F37)</f>
        <v>19784840</v>
      </c>
    </row>
    <row r="11" spans="2:11" ht="12">
      <c r="B11" s="288" t="s">
        <v>117</v>
      </c>
      <c r="C11" s="289">
        <v>1</v>
      </c>
      <c r="D11" s="289" t="s">
        <v>110</v>
      </c>
      <c r="E11" s="290"/>
      <c r="F11" s="291">
        <v>973000</v>
      </c>
      <c r="G11" s="99"/>
      <c r="J11" s="538" t="s">
        <v>521</v>
      </c>
      <c r="K11" s="236"/>
    </row>
    <row r="12" spans="2:11" ht="12">
      <c r="B12" s="689" t="s">
        <v>118</v>
      </c>
      <c r="C12" s="690"/>
      <c r="D12" s="690"/>
      <c r="E12" s="691"/>
      <c r="F12" s="292">
        <f>SUM(F5:F11)</f>
        <v>7707000</v>
      </c>
      <c r="G12" s="99"/>
      <c r="J12" s="538" t="s">
        <v>522</v>
      </c>
      <c r="K12" s="236"/>
    </row>
    <row r="13" spans="2:11" ht="12">
      <c r="B13" s="689" t="s">
        <v>119</v>
      </c>
      <c r="C13" s="690"/>
      <c r="D13" s="690"/>
      <c r="E13" s="691"/>
      <c r="F13" s="292">
        <v>973400</v>
      </c>
      <c r="G13" s="99"/>
      <c r="H13" s="293"/>
      <c r="J13" s="538" t="s">
        <v>523</v>
      </c>
      <c r="K13" s="236">
        <f>SUM(K2:K12)</f>
        <v>22559095</v>
      </c>
    </row>
    <row r="14" spans="2:11" ht="12">
      <c r="B14" s="694" t="s">
        <v>147</v>
      </c>
      <c r="C14" s="695"/>
      <c r="D14" s="695"/>
      <c r="E14" s="696"/>
      <c r="F14" s="292">
        <f>SUM(F12:F13)</f>
        <v>8680400</v>
      </c>
      <c r="G14" s="99"/>
      <c r="J14" s="538" t="s">
        <v>524</v>
      </c>
      <c r="K14" s="236">
        <f>F11+F16+F29+F38</f>
        <v>4235710</v>
      </c>
    </row>
    <row r="15" spans="2:11" ht="12">
      <c r="B15" s="288" t="s">
        <v>144</v>
      </c>
      <c r="C15" s="289">
        <v>1</v>
      </c>
      <c r="D15" s="289" t="s">
        <v>110</v>
      </c>
      <c r="E15" s="290">
        <v>1000000</v>
      </c>
      <c r="F15" s="291">
        <v>1000000</v>
      </c>
      <c r="G15" s="99"/>
      <c r="J15" s="538" t="s">
        <v>523</v>
      </c>
      <c r="K15" s="236">
        <f>SUM(K13:K14)</f>
        <v>26794805</v>
      </c>
    </row>
    <row r="16" spans="2:11" ht="12">
      <c r="B16" s="288" t="s">
        <v>120</v>
      </c>
      <c r="C16" s="289">
        <v>1</v>
      </c>
      <c r="D16" s="289" t="s">
        <v>110</v>
      </c>
      <c r="E16" s="290"/>
      <c r="F16" s="291">
        <v>250000</v>
      </c>
      <c r="G16" s="99"/>
      <c r="J16" s="538" t="s">
        <v>525</v>
      </c>
      <c r="K16" s="236">
        <v>0</v>
      </c>
    </row>
    <row r="17" spans="2:11" ht="15.75" customHeight="1">
      <c r="B17" s="692" t="s">
        <v>145</v>
      </c>
      <c r="C17" s="693"/>
      <c r="D17" s="693"/>
      <c r="E17" s="693"/>
      <c r="F17" s="292">
        <v>1250000</v>
      </c>
      <c r="G17" s="99"/>
      <c r="J17" s="538" t="s">
        <v>164</v>
      </c>
      <c r="K17" s="236">
        <f>K15-K16</f>
        <v>26794805</v>
      </c>
    </row>
    <row r="18" spans="2:11" ht="15.75" customHeight="1">
      <c r="B18" s="692" t="s">
        <v>146</v>
      </c>
      <c r="C18" s="693"/>
      <c r="D18" s="693"/>
      <c r="E18" s="693"/>
      <c r="F18" s="292">
        <f>F15*0.1</f>
        <v>100000</v>
      </c>
      <c r="G18" s="99"/>
      <c r="J18" s="538"/>
      <c r="K18" s="236"/>
    </row>
    <row r="19" spans="2:11" ht="12">
      <c r="B19" s="674" t="s">
        <v>364</v>
      </c>
      <c r="C19" s="675"/>
      <c r="D19" s="675"/>
      <c r="E19" s="676"/>
      <c r="F19" s="292">
        <f>SUM(F17:F18)</f>
        <v>1350000</v>
      </c>
      <c r="G19" s="99"/>
      <c r="J19" s="538" t="s">
        <v>526</v>
      </c>
      <c r="K19" s="541">
        <f>'Capital Expenditure'!D61</f>
        <v>0.5685733484531796</v>
      </c>
    </row>
    <row r="20" spans="2:11" ht="15.75" customHeight="1">
      <c r="B20" s="667" t="s">
        <v>148</v>
      </c>
      <c r="C20" s="668"/>
      <c r="D20" s="668"/>
      <c r="E20" s="668"/>
      <c r="F20" s="294">
        <f>F12+F17</f>
        <v>8957000</v>
      </c>
      <c r="G20" s="99"/>
      <c r="J20" s="538"/>
      <c r="K20" s="236"/>
    </row>
    <row r="21" spans="2:11" ht="12.75" thickBot="1">
      <c r="B21" s="667" t="s">
        <v>149</v>
      </c>
      <c r="C21" s="668"/>
      <c r="D21" s="668"/>
      <c r="E21" s="668"/>
      <c r="F21" s="294">
        <f>F13+F18</f>
        <v>1073400</v>
      </c>
      <c r="G21" s="99"/>
      <c r="J21" s="539" t="s">
        <v>527</v>
      </c>
      <c r="K21" s="540">
        <f>K17*K19</f>
        <v>15234812</v>
      </c>
    </row>
    <row r="22" spans="2:7" ht="12.75" thickBot="1">
      <c r="B22" s="669" t="s">
        <v>150</v>
      </c>
      <c r="C22" s="670"/>
      <c r="D22" s="670"/>
      <c r="E22" s="671"/>
      <c r="F22" s="295">
        <f>SUM(F20:F21)</f>
        <v>10030400</v>
      </c>
      <c r="G22" s="99"/>
    </row>
    <row r="23" spans="2:11" ht="12">
      <c r="B23" s="677" t="s">
        <v>206</v>
      </c>
      <c r="C23" s="678"/>
      <c r="D23" s="678"/>
      <c r="E23" s="678"/>
      <c r="F23" s="679"/>
      <c r="G23" s="99"/>
      <c r="J23" s="536" t="s">
        <v>513</v>
      </c>
      <c r="K23" s="537">
        <f>ROUND(K2,-3)</f>
        <v>0</v>
      </c>
    </row>
    <row r="24" spans="2:11" ht="12">
      <c r="B24" s="296" t="s">
        <v>207</v>
      </c>
      <c r="C24" s="297">
        <v>100</v>
      </c>
      <c r="D24" s="297" t="s">
        <v>208</v>
      </c>
      <c r="E24" s="298">
        <v>3000</v>
      </c>
      <c r="F24" s="299">
        <f>C24*E24</f>
        <v>300000</v>
      </c>
      <c r="G24" s="300"/>
      <c r="J24" s="538" t="s">
        <v>514</v>
      </c>
      <c r="K24" s="236">
        <f aca="true" t="shared" si="0" ref="K24:K42">ROUND(K3,-3)</f>
        <v>0</v>
      </c>
    </row>
    <row r="25" spans="2:11" ht="12">
      <c r="B25" s="296" t="s">
        <v>209</v>
      </c>
      <c r="C25" s="297">
        <v>4</v>
      </c>
      <c r="D25" s="297" t="s">
        <v>210</v>
      </c>
      <c r="E25" s="298">
        <v>870000</v>
      </c>
      <c r="F25" s="299">
        <f>C25*E25</f>
        <v>3480000</v>
      </c>
      <c r="G25" s="99"/>
      <c r="J25" s="538" t="s">
        <v>515</v>
      </c>
      <c r="K25" s="236">
        <f t="shared" si="0"/>
        <v>0</v>
      </c>
    </row>
    <row r="26" spans="2:11" ht="15.75" customHeight="1">
      <c r="B26" s="296" t="s">
        <v>211</v>
      </c>
      <c r="C26" s="297">
        <v>10</v>
      </c>
      <c r="D26" s="297" t="s">
        <v>210</v>
      </c>
      <c r="E26" s="298">
        <v>100000</v>
      </c>
      <c r="F26" s="299">
        <f>C26*E26</f>
        <v>1000000</v>
      </c>
      <c r="G26" s="99"/>
      <c r="J26" s="538" t="s">
        <v>516</v>
      </c>
      <c r="K26" s="236">
        <f t="shared" si="0"/>
        <v>2774000</v>
      </c>
    </row>
    <row r="27" spans="2:11" ht="12">
      <c r="B27" s="296" t="s">
        <v>212</v>
      </c>
      <c r="C27" s="297">
        <v>0.5</v>
      </c>
      <c r="D27" s="297" t="s">
        <v>208</v>
      </c>
      <c r="E27" s="298">
        <v>3000000</v>
      </c>
      <c r="F27" s="299">
        <f>C27*E27</f>
        <v>1500000</v>
      </c>
      <c r="G27" s="99"/>
      <c r="J27" s="538" t="s">
        <v>517</v>
      </c>
      <c r="K27" s="236">
        <f t="shared" si="0"/>
        <v>0</v>
      </c>
    </row>
    <row r="28" spans="2:11" ht="12">
      <c r="B28" s="296" t="s">
        <v>213</v>
      </c>
      <c r="C28" s="297">
        <v>5000</v>
      </c>
      <c r="D28" s="297" t="s">
        <v>214</v>
      </c>
      <c r="E28" s="298">
        <v>300</v>
      </c>
      <c r="F28" s="299">
        <f>C28*E28</f>
        <v>1500000</v>
      </c>
      <c r="G28" s="99"/>
      <c r="J28" s="538" t="s">
        <v>518</v>
      </c>
      <c r="K28" s="236">
        <f t="shared" si="0"/>
        <v>0</v>
      </c>
    </row>
    <row r="29" spans="2:11" ht="12">
      <c r="B29" s="296" t="s">
        <v>121</v>
      </c>
      <c r="C29" s="297"/>
      <c r="D29" s="297"/>
      <c r="E29" s="298"/>
      <c r="F29" s="299">
        <f>0.25*(SUM(F24:F28))</f>
        <v>1945000</v>
      </c>
      <c r="G29" s="99"/>
      <c r="J29" s="538" t="s">
        <v>519</v>
      </c>
      <c r="K29" s="236">
        <f t="shared" si="0"/>
        <v>0</v>
      </c>
    </row>
    <row r="30" spans="2:11" ht="12">
      <c r="B30" s="667" t="s">
        <v>365</v>
      </c>
      <c r="C30" s="668"/>
      <c r="D30" s="668"/>
      <c r="E30" s="668"/>
      <c r="F30" s="294">
        <f>SUM(F24:F29)</f>
        <v>9725000</v>
      </c>
      <c r="G30" s="99"/>
      <c r="J30" s="538" t="s">
        <v>520</v>
      </c>
      <c r="K30" s="236">
        <f t="shared" si="0"/>
        <v>0</v>
      </c>
    </row>
    <row r="31" spans="2:11" ht="12">
      <c r="B31" s="667" t="s">
        <v>366</v>
      </c>
      <c r="C31" s="668"/>
      <c r="D31" s="668"/>
      <c r="E31" s="668"/>
      <c r="F31" s="294">
        <f>0.15*(SUM(F24:F28))</f>
        <v>1167000</v>
      </c>
      <c r="G31" s="99"/>
      <c r="J31" s="538" t="s">
        <v>124</v>
      </c>
      <c r="K31" s="236">
        <f t="shared" si="0"/>
        <v>19785000</v>
      </c>
    </row>
    <row r="32" spans="2:11" ht="12.75" thickBot="1">
      <c r="B32" s="669" t="s">
        <v>215</v>
      </c>
      <c r="C32" s="670"/>
      <c r="D32" s="670"/>
      <c r="E32" s="671"/>
      <c r="F32" s="295">
        <f>SUM(F30:F31)</f>
        <v>10892000</v>
      </c>
      <c r="G32" s="99"/>
      <c r="J32" s="538" t="s">
        <v>521</v>
      </c>
      <c r="K32" s="236">
        <f t="shared" si="0"/>
        <v>0</v>
      </c>
    </row>
    <row r="33" spans="2:11" ht="12">
      <c r="B33" s="680" t="s">
        <v>216</v>
      </c>
      <c r="C33" s="681"/>
      <c r="D33" s="681"/>
      <c r="E33" s="681"/>
      <c r="F33" s="682"/>
      <c r="G33" s="99"/>
      <c r="J33" s="538" t="s">
        <v>522</v>
      </c>
      <c r="K33" s="236">
        <f t="shared" si="0"/>
        <v>0</v>
      </c>
    </row>
    <row r="34" spans="2:12" ht="12">
      <c r="B34" s="301" t="s">
        <v>217</v>
      </c>
      <c r="C34" s="302">
        <v>10100</v>
      </c>
      <c r="D34" s="303" t="s">
        <v>218</v>
      </c>
      <c r="E34" s="304">
        <v>250</v>
      </c>
      <c r="F34" s="305">
        <f>E34*C34</f>
        <v>2525000</v>
      </c>
      <c r="G34" s="99"/>
      <c r="J34" s="538" t="s">
        <v>523</v>
      </c>
      <c r="K34" s="236">
        <f t="shared" si="0"/>
        <v>22559000</v>
      </c>
      <c r="L34" s="306"/>
    </row>
    <row r="35" spans="2:17" ht="12">
      <c r="B35" s="301" t="s">
        <v>219</v>
      </c>
      <c r="C35" s="302">
        <v>2</v>
      </c>
      <c r="D35" s="303" t="s">
        <v>112</v>
      </c>
      <c r="E35" s="304">
        <v>250000</v>
      </c>
      <c r="F35" s="305">
        <f>E35*C35</f>
        <v>500000</v>
      </c>
      <c r="G35" s="99"/>
      <c r="J35" s="538" t="s">
        <v>524</v>
      </c>
      <c r="K35" s="236">
        <f t="shared" si="0"/>
        <v>4236000</v>
      </c>
      <c r="Q35" s="306"/>
    </row>
    <row r="36" spans="2:17" ht="12">
      <c r="B36" s="301" t="s">
        <v>220</v>
      </c>
      <c r="C36" s="302">
        <v>6</v>
      </c>
      <c r="D36" s="303"/>
      <c r="E36" s="304">
        <v>125000</v>
      </c>
      <c r="F36" s="305">
        <f>E36*C36</f>
        <v>750000</v>
      </c>
      <c r="G36" s="99"/>
      <c r="J36" s="538" t="s">
        <v>523</v>
      </c>
      <c r="K36" s="236">
        <f t="shared" si="0"/>
        <v>26795000</v>
      </c>
      <c r="Q36" s="306"/>
    </row>
    <row r="37" spans="2:11" ht="12">
      <c r="B37" s="301" t="s">
        <v>221</v>
      </c>
      <c r="C37" s="302">
        <v>41320</v>
      </c>
      <c r="D37" s="303" t="s">
        <v>222</v>
      </c>
      <c r="E37" s="304">
        <v>12</v>
      </c>
      <c r="F37" s="305">
        <f>E37*C37</f>
        <v>495840</v>
      </c>
      <c r="G37" s="99"/>
      <c r="J37" s="538" t="s">
        <v>525</v>
      </c>
      <c r="K37" s="236">
        <f t="shared" si="0"/>
        <v>0</v>
      </c>
    </row>
    <row r="38" spans="2:11" ht="12">
      <c r="B38" s="301" t="s">
        <v>120</v>
      </c>
      <c r="C38" s="302">
        <v>1</v>
      </c>
      <c r="D38" s="303" t="s">
        <v>223</v>
      </c>
      <c r="E38" s="304">
        <f>F38</f>
        <v>1067710</v>
      </c>
      <c r="F38" s="305">
        <f>0.25*(SUM(F34:F37))</f>
        <v>1067710</v>
      </c>
      <c r="G38" s="99"/>
      <c r="J38" s="538" t="s">
        <v>164</v>
      </c>
      <c r="K38" s="236">
        <f t="shared" si="0"/>
        <v>26795000</v>
      </c>
    </row>
    <row r="39" spans="2:11" ht="12">
      <c r="B39" s="667" t="s">
        <v>224</v>
      </c>
      <c r="C39" s="668"/>
      <c r="D39" s="668"/>
      <c r="E39" s="668"/>
      <c r="F39" s="307">
        <f>SUM(F34:F38)</f>
        <v>5338550</v>
      </c>
      <c r="G39" s="99"/>
      <c r="J39" s="538"/>
      <c r="K39" s="236"/>
    </row>
    <row r="40" spans="2:11" ht="12">
      <c r="B40" s="667" t="s">
        <v>225</v>
      </c>
      <c r="C40" s="668"/>
      <c r="D40" s="668"/>
      <c r="E40" s="668"/>
      <c r="F40" s="307">
        <f>0.1*F39</f>
        <v>533855</v>
      </c>
      <c r="G40" s="99"/>
      <c r="J40" s="538" t="s">
        <v>526</v>
      </c>
      <c r="K40" s="542">
        <f>K19</f>
        <v>0.5685733484531796</v>
      </c>
    </row>
    <row r="41" spans="2:11" ht="12.75" thickBot="1">
      <c r="B41" s="669" t="s">
        <v>226</v>
      </c>
      <c r="C41" s="670"/>
      <c r="D41" s="670"/>
      <c r="E41" s="671"/>
      <c r="F41" s="308">
        <f>SUM(F39:F40)</f>
        <v>5872405</v>
      </c>
      <c r="G41" s="99"/>
      <c r="J41" s="538"/>
      <c r="K41" s="236"/>
    </row>
    <row r="42" spans="2:11" ht="12.75" thickBot="1">
      <c r="B42" s="672" t="s">
        <v>227</v>
      </c>
      <c r="C42" s="673"/>
      <c r="D42" s="673"/>
      <c r="E42" s="673"/>
      <c r="F42" s="309">
        <f>F21+F31+F40</f>
        <v>2774255</v>
      </c>
      <c r="G42" s="99"/>
      <c r="J42" s="539" t="s">
        <v>527</v>
      </c>
      <c r="K42" s="540">
        <f t="shared" si="0"/>
        <v>15235000</v>
      </c>
    </row>
    <row r="43" spans="2:11" ht="12.75" thickBot="1">
      <c r="B43" s="672" t="s">
        <v>228</v>
      </c>
      <c r="C43" s="673"/>
      <c r="D43" s="673"/>
      <c r="E43" s="673"/>
      <c r="F43" s="309">
        <f>SUM(F20,F30,F39)</f>
        <v>24020550</v>
      </c>
      <c r="G43" s="99"/>
      <c r="K43" s="80"/>
    </row>
    <row r="44" spans="2:11" ht="12.75" thickBot="1">
      <c r="B44" s="672" t="s">
        <v>122</v>
      </c>
      <c r="C44" s="673"/>
      <c r="D44" s="673"/>
      <c r="E44" s="673"/>
      <c r="F44" s="309">
        <f>SUM(F22,F32,F41)</f>
        <v>26794805</v>
      </c>
      <c r="G44" s="99"/>
      <c r="K44" s="80"/>
    </row>
    <row r="45" spans="2:7" ht="12.75" thickBot="1">
      <c r="B45" s="99"/>
      <c r="C45" s="99"/>
      <c r="D45" s="99"/>
      <c r="E45" s="99"/>
      <c r="F45" s="99"/>
      <c r="G45" s="99"/>
    </row>
    <row r="46" spans="2:7" ht="12">
      <c r="B46" s="683" t="s">
        <v>205</v>
      </c>
      <c r="C46" s="684"/>
      <c r="D46" s="684"/>
      <c r="E46" s="684"/>
      <c r="F46" s="685"/>
      <c r="G46" s="99"/>
    </row>
    <row r="47" spans="2:7" ht="24.75" thickBot="1">
      <c r="B47" s="284" t="s">
        <v>104</v>
      </c>
      <c r="C47" s="285" t="s">
        <v>105</v>
      </c>
      <c r="D47" s="285" t="s">
        <v>106</v>
      </c>
      <c r="E47" s="286" t="s">
        <v>107</v>
      </c>
      <c r="F47" s="287" t="s">
        <v>108</v>
      </c>
      <c r="G47" s="99"/>
    </row>
    <row r="48" spans="2:7" ht="12" customHeight="1">
      <c r="B48" s="686" t="s">
        <v>151</v>
      </c>
      <c r="C48" s="687"/>
      <c r="D48" s="687"/>
      <c r="E48" s="687"/>
      <c r="F48" s="688"/>
      <c r="G48" s="99"/>
    </row>
    <row r="49" spans="2:7" ht="12">
      <c r="B49" s="288" t="s">
        <v>109</v>
      </c>
      <c r="C49" s="289">
        <v>1</v>
      </c>
      <c r="D49" s="289" t="s">
        <v>110</v>
      </c>
      <c r="E49" s="290">
        <f aca="true" t="shared" si="1" ref="E49:F54">ROUND(E5,-3)</f>
        <v>239000</v>
      </c>
      <c r="F49" s="291">
        <f t="shared" si="1"/>
        <v>239000</v>
      </c>
      <c r="G49" s="99"/>
    </row>
    <row r="50" spans="2:6" ht="12">
      <c r="B50" s="288" t="s">
        <v>111</v>
      </c>
      <c r="C50" s="289">
        <v>160</v>
      </c>
      <c r="D50" s="289" t="s">
        <v>112</v>
      </c>
      <c r="E50" s="290">
        <f t="shared" si="1"/>
        <v>14000</v>
      </c>
      <c r="F50" s="291">
        <f t="shared" si="1"/>
        <v>2210000</v>
      </c>
    </row>
    <row r="51" spans="2:6" ht="12">
      <c r="B51" s="288" t="s">
        <v>113</v>
      </c>
      <c r="C51" s="289">
        <v>1</v>
      </c>
      <c r="D51" s="289" t="s">
        <v>112</v>
      </c>
      <c r="E51" s="290">
        <f t="shared" si="1"/>
        <v>724000</v>
      </c>
      <c r="F51" s="291">
        <f t="shared" si="1"/>
        <v>724000</v>
      </c>
    </row>
    <row r="52" spans="2:6" ht="12">
      <c r="B52" s="288" t="s">
        <v>114</v>
      </c>
      <c r="C52" s="289">
        <v>15</v>
      </c>
      <c r="D52" s="289" t="s">
        <v>112</v>
      </c>
      <c r="E52" s="290">
        <f t="shared" si="1"/>
        <v>103000</v>
      </c>
      <c r="F52" s="291">
        <f t="shared" si="1"/>
        <v>1548000</v>
      </c>
    </row>
    <row r="53" spans="2:6" ht="12">
      <c r="B53" s="288" t="s">
        <v>115</v>
      </c>
      <c r="C53" s="289">
        <v>1</v>
      </c>
      <c r="D53" s="289" t="s">
        <v>112</v>
      </c>
      <c r="E53" s="290">
        <f t="shared" si="1"/>
        <v>1445000</v>
      </c>
      <c r="F53" s="291">
        <f t="shared" si="1"/>
        <v>1445000</v>
      </c>
    </row>
    <row r="54" spans="2:6" ht="12">
      <c r="B54" s="288" t="s">
        <v>116</v>
      </c>
      <c r="C54" s="289">
        <v>1</v>
      </c>
      <c r="D54" s="289" t="s">
        <v>110</v>
      </c>
      <c r="E54" s="290">
        <f t="shared" si="1"/>
        <v>568000</v>
      </c>
      <c r="F54" s="291">
        <f t="shared" si="1"/>
        <v>568000</v>
      </c>
    </row>
    <row r="55" spans="2:6" ht="12">
      <c r="B55" s="288" t="s">
        <v>117</v>
      </c>
      <c r="C55" s="289">
        <v>1</v>
      </c>
      <c r="D55" s="289" t="s">
        <v>110</v>
      </c>
      <c r="E55" s="290"/>
      <c r="F55" s="291">
        <f aca="true" t="shared" si="2" ref="F55:F66">ROUND(F11,-3)</f>
        <v>973000</v>
      </c>
    </row>
    <row r="56" spans="2:6" ht="12">
      <c r="B56" s="689" t="s">
        <v>118</v>
      </c>
      <c r="C56" s="690"/>
      <c r="D56" s="690"/>
      <c r="E56" s="691"/>
      <c r="F56" s="292">
        <f t="shared" si="2"/>
        <v>7707000</v>
      </c>
    </row>
    <row r="57" spans="2:6" ht="12">
      <c r="B57" s="689" t="s">
        <v>119</v>
      </c>
      <c r="C57" s="690"/>
      <c r="D57" s="690"/>
      <c r="E57" s="691"/>
      <c r="F57" s="292">
        <f t="shared" si="2"/>
        <v>973000</v>
      </c>
    </row>
    <row r="58" spans="2:6" ht="12">
      <c r="B58" s="694" t="s">
        <v>147</v>
      </c>
      <c r="C58" s="695"/>
      <c r="D58" s="695"/>
      <c r="E58" s="696"/>
      <c r="F58" s="292">
        <f t="shared" si="2"/>
        <v>8680000</v>
      </c>
    </row>
    <row r="59" spans="2:6" ht="12">
      <c r="B59" s="288" t="s">
        <v>144</v>
      </c>
      <c r="C59" s="289">
        <v>1</v>
      </c>
      <c r="D59" s="289" t="s">
        <v>110</v>
      </c>
      <c r="E59" s="290">
        <v>1000000</v>
      </c>
      <c r="F59" s="291">
        <f t="shared" si="2"/>
        <v>1000000</v>
      </c>
    </row>
    <row r="60" spans="2:6" ht="12">
      <c r="B60" s="288" t="s">
        <v>120</v>
      </c>
      <c r="C60" s="289">
        <v>1</v>
      </c>
      <c r="D60" s="289" t="s">
        <v>110</v>
      </c>
      <c r="E60" s="290"/>
      <c r="F60" s="291">
        <f t="shared" si="2"/>
        <v>250000</v>
      </c>
    </row>
    <row r="61" spans="2:6" ht="12">
      <c r="B61" s="692" t="s">
        <v>145</v>
      </c>
      <c r="C61" s="693"/>
      <c r="D61" s="693"/>
      <c r="E61" s="693"/>
      <c r="F61" s="292">
        <f t="shared" si="2"/>
        <v>1250000</v>
      </c>
    </row>
    <row r="62" spans="2:6" ht="12">
      <c r="B62" s="692" t="s">
        <v>146</v>
      </c>
      <c r="C62" s="693"/>
      <c r="D62" s="693"/>
      <c r="E62" s="693"/>
      <c r="F62" s="292">
        <f t="shared" si="2"/>
        <v>100000</v>
      </c>
    </row>
    <row r="63" spans="2:6" ht="12">
      <c r="B63" s="674" t="s">
        <v>364</v>
      </c>
      <c r="C63" s="675"/>
      <c r="D63" s="675"/>
      <c r="E63" s="676"/>
      <c r="F63" s="292">
        <f t="shared" si="2"/>
        <v>1350000</v>
      </c>
    </row>
    <row r="64" spans="2:6" ht="12">
      <c r="B64" s="667" t="s">
        <v>148</v>
      </c>
      <c r="C64" s="668"/>
      <c r="D64" s="668"/>
      <c r="E64" s="668"/>
      <c r="F64" s="294">
        <f t="shared" si="2"/>
        <v>8957000</v>
      </c>
    </row>
    <row r="65" spans="2:6" ht="12">
      <c r="B65" s="667" t="s">
        <v>149</v>
      </c>
      <c r="C65" s="668"/>
      <c r="D65" s="668"/>
      <c r="E65" s="668"/>
      <c r="F65" s="294">
        <f t="shared" si="2"/>
        <v>1073000</v>
      </c>
    </row>
    <row r="66" spans="2:6" ht="12.75" thickBot="1">
      <c r="B66" s="669" t="s">
        <v>150</v>
      </c>
      <c r="C66" s="670"/>
      <c r="D66" s="670"/>
      <c r="E66" s="671"/>
      <c r="F66" s="295">
        <f t="shared" si="2"/>
        <v>10030000</v>
      </c>
    </row>
    <row r="67" spans="2:6" ht="12">
      <c r="B67" s="677" t="s">
        <v>206</v>
      </c>
      <c r="C67" s="678"/>
      <c r="D67" s="678"/>
      <c r="E67" s="678"/>
      <c r="F67" s="679"/>
    </row>
    <row r="68" spans="2:6" ht="12">
      <c r="B68" s="296" t="s">
        <v>207</v>
      </c>
      <c r="C68" s="297">
        <v>100</v>
      </c>
      <c r="D68" s="297" t="s">
        <v>208</v>
      </c>
      <c r="E68" s="298">
        <f aca="true" t="shared" si="3" ref="E68:F72">ROUND(E24,-3)</f>
        <v>3000</v>
      </c>
      <c r="F68" s="299">
        <f t="shared" si="3"/>
        <v>300000</v>
      </c>
    </row>
    <row r="69" spans="2:6" ht="12">
      <c r="B69" s="296" t="s">
        <v>209</v>
      </c>
      <c r="C69" s="297">
        <v>4</v>
      </c>
      <c r="D69" s="297" t="s">
        <v>210</v>
      </c>
      <c r="E69" s="298">
        <f t="shared" si="3"/>
        <v>870000</v>
      </c>
      <c r="F69" s="299">
        <f t="shared" si="3"/>
        <v>3480000</v>
      </c>
    </row>
    <row r="70" spans="2:6" ht="12">
      <c r="B70" s="296" t="s">
        <v>211</v>
      </c>
      <c r="C70" s="297">
        <v>10</v>
      </c>
      <c r="D70" s="297" t="s">
        <v>210</v>
      </c>
      <c r="E70" s="298">
        <f t="shared" si="3"/>
        <v>100000</v>
      </c>
      <c r="F70" s="299">
        <f t="shared" si="3"/>
        <v>1000000</v>
      </c>
    </row>
    <row r="71" spans="2:8" ht="12">
      <c r="B71" s="296" t="s">
        <v>212</v>
      </c>
      <c r="C71" s="297">
        <v>0.5</v>
      </c>
      <c r="D71" s="297" t="s">
        <v>208</v>
      </c>
      <c r="E71" s="298">
        <f t="shared" si="3"/>
        <v>3000000</v>
      </c>
      <c r="F71" s="299">
        <f t="shared" si="3"/>
        <v>1500000</v>
      </c>
      <c r="H71" s="238"/>
    </row>
    <row r="72" spans="2:6" ht="12">
      <c r="B72" s="296" t="s">
        <v>213</v>
      </c>
      <c r="C72" s="297">
        <v>5000</v>
      </c>
      <c r="D72" s="297" t="s">
        <v>214</v>
      </c>
      <c r="E72" s="298">
        <f t="shared" si="3"/>
        <v>0</v>
      </c>
      <c r="F72" s="299">
        <f t="shared" si="3"/>
        <v>1500000</v>
      </c>
    </row>
    <row r="73" spans="2:6" ht="12">
      <c r="B73" s="296" t="s">
        <v>121</v>
      </c>
      <c r="C73" s="297"/>
      <c r="D73" s="297"/>
      <c r="E73" s="298"/>
      <c r="F73" s="299">
        <f>ROUND(F29,-3)</f>
        <v>1945000</v>
      </c>
    </row>
    <row r="74" spans="2:6" ht="12">
      <c r="B74" s="667" t="s">
        <v>365</v>
      </c>
      <c r="C74" s="668"/>
      <c r="D74" s="668"/>
      <c r="E74" s="668"/>
      <c r="F74" s="294">
        <f>ROUND(F30,-3)</f>
        <v>9725000</v>
      </c>
    </row>
    <row r="75" spans="2:6" ht="12">
      <c r="B75" s="667" t="s">
        <v>366</v>
      </c>
      <c r="C75" s="668"/>
      <c r="D75" s="668"/>
      <c r="E75" s="668"/>
      <c r="F75" s="294">
        <f>ROUND(F31,-3)</f>
        <v>1167000</v>
      </c>
    </row>
    <row r="76" spans="2:6" ht="12.75" thickBot="1">
      <c r="B76" s="669" t="s">
        <v>215</v>
      </c>
      <c r="C76" s="670"/>
      <c r="D76" s="670"/>
      <c r="E76" s="671"/>
      <c r="F76" s="295">
        <f>ROUND(F32,-3)</f>
        <v>10892000</v>
      </c>
    </row>
    <row r="77" spans="2:6" ht="12">
      <c r="B77" s="680" t="s">
        <v>216</v>
      </c>
      <c r="C77" s="681"/>
      <c r="D77" s="681"/>
      <c r="E77" s="681"/>
      <c r="F77" s="682"/>
    </row>
    <row r="78" spans="2:8" ht="12">
      <c r="B78" s="301" t="s">
        <v>217</v>
      </c>
      <c r="C78" s="302">
        <v>10100</v>
      </c>
      <c r="D78" s="303" t="s">
        <v>218</v>
      </c>
      <c r="E78" s="304">
        <f aca="true" t="shared" si="4" ref="E78:F82">ROUND(E34,-3)</f>
        <v>0</v>
      </c>
      <c r="F78" s="305">
        <f t="shared" si="4"/>
        <v>2525000</v>
      </c>
      <c r="H78" s="238"/>
    </row>
    <row r="79" spans="2:6" ht="12">
      <c r="B79" s="301" t="s">
        <v>219</v>
      </c>
      <c r="C79" s="302">
        <v>2</v>
      </c>
      <c r="D79" s="303" t="s">
        <v>112</v>
      </c>
      <c r="E79" s="304">
        <f t="shared" si="4"/>
        <v>250000</v>
      </c>
      <c r="F79" s="305">
        <f t="shared" si="4"/>
        <v>500000</v>
      </c>
    </row>
    <row r="80" spans="2:6" ht="12">
      <c r="B80" s="301" t="s">
        <v>220</v>
      </c>
      <c r="C80" s="302">
        <v>6</v>
      </c>
      <c r="D80" s="303"/>
      <c r="E80" s="304">
        <f t="shared" si="4"/>
        <v>125000</v>
      </c>
      <c r="F80" s="305">
        <f t="shared" si="4"/>
        <v>750000</v>
      </c>
    </row>
    <row r="81" spans="2:6" ht="12">
      <c r="B81" s="301" t="s">
        <v>221</v>
      </c>
      <c r="C81" s="302">
        <v>41320</v>
      </c>
      <c r="D81" s="303" t="s">
        <v>222</v>
      </c>
      <c r="E81" s="304">
        <f t="shared" si="4"/>
        <v>0</v>
      </c>
      <c r="F81" s="305">
        <f t="shared" si="4"/>
        <v>496000</v>
      </c>
    </row>
    <row r="82" spans="2:6" ht="12">
      <c r="B82" s="301" t="s">
        <v>120</v>
      </c>
      <c r="C82" s="302">
        <v>1</v>
      </c>
      <c r="D82" s="303" t="s">
        <v>223</v>
      </c>
      <c r="E82" s="304">
        <f t="shared" si="4"/>
        <v>1068000</v>
      </c>
      <c r="F82" s="305">
        <f t="shared" si="4"/>
        <v>1068000</v>
      </c>
    </row>
    <row r="83" spans="2:6" ht="12">
      <c r="B83" s="667" t="s">
        <v>224</v>
      </c>
      <c r="C83" s="668"/>
      <c r="D83" s="668"/>
      <c r="E83" s="668"/>
      <c r="F83" s="307">
        <f aca="true" t="shared" si="5" ref="F83:F88">ROUND(F39,-3)</f>
        <v>5339000</v>
      </c>
    </row>
    <row r="84" spans="2:6" ht="12">
      <c r="B84" s="667" t="s">
        <v>225</v>
      </c>
      <c r="C84" s="668"/>
      <c r="D84" s="668"/>
      <c r="E84" s="668"/>
      <c r="F84" s="307">
        <f t="shared" si="5"/>
        <v>534000</v>
      </c>
    </row>
    <row r="85" spans="2:6" ht="12.75" thickBot="1">
      <c r="B85" s="669" t="s">
        <v>226</v>
      </c>
      <c r="C85" s="670"/>
      <c r="D85" s="670"/>
      <c r="E85" s="671"/>
      <c r="F85" s="308">
        <f t="shared" si="5"/>
        <v>5872000</v>
      </c>
    </row>
    <row r="86" spans="2:6" ht="12.75" thickBot="1">
      <c r="B86" s="672" t="s">
        <v>227</v>
      </c>
      <c r="C86" s="673"/>
      <c r="D86" s="673"/>
      <c r="E86" s="673"/>
      <c r="F86" s="309">
        <f t="shared" si="5"/>
        <v>2774000</v>
      </c>
    </row>
    <row r="87" spans="2:6" ht="12.75" thickBot="1">
      <c r="B87" s="672" t="s">
        <v>228</v>
      </c>
      <c r="C87" s="673"/>
      <c r="D87" s="673"/>
      <c r="E87" s="673"/>
      <c r="F87" s="309">
        <f t="shared" si="5"/>
        <v>24021000</v>
      </c>
    </row>
    <row r="88" spans="2:6" ht="12.75" thickBot="1">
      <c r="B88" s="672" t="s">
        <v>122</v>
      </c>
      <c r="C88" s="673"/>
      <c r="D88" s="673"/>
      <c r="E88" s="673"/>
      <c r="F88" s="309">
        <f t="shared" si="5"/>
        <v>26795000</v>
      </c>
    </row>
  </sheetData>
  <sheetProtection/>
  <mergeCells count="44">
    <mergeCell ref="B85:E85"/>
    <mergeCell ref="B86:E86"/>
    <mergeCell ref="B87:E87"/>
    <mergeCell ref="B88:E88"/>
    <mergeCell ref="B74:E74"/>
    <mergeCell ref="B75:E75"/>
    <mergeCell ref="B76:E76"/>
    <mergeCell ref="B77:F77"/>
    <mergeCell ref="B83:E83"/>
    <mergeCell ref="B84:E84"/>
    <mergeCell ref="B62:E62"/>
    <mergeCell ref="B63:E63"/>
    <mergeCell ref="B64:E64"/>
    <mergeCell ref="B65:E65"/>
    <mergeCell ref="B66:E66"/>
    <mergeCell ref="B67:F67"/>
    <mergeCell ref="B46:F46"/>
    <mergeCell ref="B48:F48"/>
    <mergeCell ref="B56:E56"/>
    <mergeCell ref="B57:E57"/>
    <mergeCell ref="B58:E58"/>
    <mergeCell ref="B61:E61"/>
    <mergeCell ref="B33:F33"/>
    <mergeCell ref="B2:F2"/>
    <mergeCell ref="B4:F4"/>
    <mergeCell ref="B12:E12"/>
    <mergeCell ref="B13:E13"/>
    <mergeCell ref="B17:E17"/>
    <mergeCell ref="B18:E18"/>
    <mergeCell ref="B20:E20"/>
    <mergeCell ref="B21:E21"/>
    <mergeCell ref="B14:E14"/>
    <mergeCell ref="B19:E19"/>
    <mergeCell ref="B22:E22"/>
    <mergeCell ref="B30:E30"/>
    <mergeCell ref="B31:E31"/>
    <mergeCell ref="B32:E32"/>
    <mergeCell ref="B23:F23"/>
    <mergeCell ref="B39:E39"/>
    <mergeCell ref="B40:E40"/>
    <mergeCell ref="B41:E41"/>
    <mergeCell ref="B42:E42"/>
    <mergeCell ref="B43:E43"/>
    <mergeCell ref="B44:E44"/>
  </mergeCells>
  <printOptions horizontalCentered="1" verticalCentered="1"/>
  <pageMargins left="0.7" right="0.7" top="0.75" bottom="0.75" header="0.3" footer="0.3"/>
  <pageSetup fitToHeight="1" fitToWidth="1" horizontalDpi="600" verticalDpi="600" orientation="portrait" paperSize="17" scale="59" r:id="rId1"/>
</worksheet>
</file>

<file path=xl/worksheets/sheet19.xml><?xml version="1.0" encoding="utf-8"?>
<worksheet xmlns="http://schemas.openxmlformats.org/spreadsheetml/2006/main" xmlns:r="http://schemas.openxmlformats.org/officeDocument/2006/relationships">
  <dimension ref="A1:AB86"/>
  <sheetViews>
    <sheetView zoomScale="80" zoomScaleNormal="80" zoomScalePageLayoutView="0" workbookViewId="0" topLeftCell="A1">
      <selection activeCell="E13" sqref="E13"/>
    </sheetView>
  </sheetViews>
  <sheetFormatPr defaultColWidth="9.140625" defaultRowHeight="12.75"/>
  <cols>
    <col min="1" max="2" width="8.7109375" style="133" customWidth="1"/>
    <col min="3" max="7" width="12.7109375" style="80" customWidth="1"/>
    <col min="8" max="8" width="5.7109375" style="80" customWidth="1"/>
    <col min="9" max="9" width="12.7109375" style="80" customWidth="1"/>
    <col min="10" max="10" width="12.7109375" style="80" hidden="1" customWidth="1"/>
    <col min="11" max="28" width="14.7109375" style="80" customWidth="1"/>
    <col min="29" max="16384" width="9.140625" style="80" customWidth="1"/>
  </cols>
  <sheetData>
    <row r="1" spans="1:28" ht="14.25" customHeight="1" thickBot="1">
      <c r="A1" s="705" t="s">
        <v>229</v>
      </c>
      <c r="B1" s="706"/>
      <c r="C1" s="706"/>
      <c r="D1" s="706"/>
      <c r="E1" s="706"/>
      <c r="F1" s="706"/>
      <c r="G1" s="707"/>
      <c r="H1" s="310"/>
      <c r="I1" s="700" t="s">
        <v>230</v>
      </c>
      <c r="J1" s="701"/>
      <c r="K1" s="701"/>
      <c r="L1" s="701"/>
      <c r="M1" s="701"/>
      <c r="N1" s="701"/>
      <c r="O1" s="701"/>
      <c r="P1" s="701"/>
      <c r="Q1" s="701"/>
      <c r="R1" s="701"/>
      <c r="S1" s="701"/>
      <c r="T1" s="701"/>
      <c r="U1" s="701"/>
      <c r="V1" s="701"/>
      <c r="W1" s="701"/>
      <c r="X1" s="701"/>
      <c r="Y1" s="701"/>
      <c r="Z1" s="701"/>
      <c r="AA1" s="701"/>
      <c r="AB1" s="701"/>
    </row>
    <row r="2" spans="1:28" ht="32.25" customHeight="1">
      <c r="A2" s="697" t="s">
        <v>231</v>
      </c>
      <c r="B2" s="698" t="s">
        <v>123</v>
      </c>
      <c r="C2" s="698"/>
      <c r="D2" s="698"/>
      <c r="E2" s="698" t="s">
        <v>124</v>
      </c>
      <c r="F2" s="698"/>
      <c r="G2" s="699"/>
      <c r="H2" s="312"/>
      <c r="I2" s="641" t="s">
        <v>231</v>
      </c>
      <c r="J2" s="457"/>
      <c r="K2" s="697" t="s">
        <v>123</v>
      </c>
      <c r="L2" s="698"/>
      <c r="M2" s="699"/>
      <c r="N2" s="703" t="s">
        <v>124</v>
      </c>
      <c r="O2" s="698"/>
      <c r="P2" s="704"/>
      <c r="Q2" s="697" t="s">
        <v>232</v>
      </c>
      <c r="R2" s="698"/>
      <c r="S2" s="698"/>
      <c r="T2" s="699"/>
      <c r="U2" s="703" t="s">
        <v>233</v>
      </c>
      <c r="V2" s="698"/>
      <c r="W2" s="698"/>
      <c r="X2" s="699"/>
      <c r="Y2" s="697" t="s">
        <v>234</v>
      </c>
      <c r="Z2" s="698"/>
      <c r="AA2" s="698"/>
      <c r="AB2" s="699"/>
    </row>
    <row r="3" spans="1:28" s="314" customFormat="1" ht="38.25" customHeight="1">
      <c r="A3" s="708"/>
      <c r="B3" s="259" t="s">
        <v>235</v>
      </c>
      <c r="C3" s="259" t="s">
        <v>236</v>
      </c>
      <c r="D3" s="259" t="s">
        <v>237</v>
      </c>
      <c r="E3" s="259" t="s">
        <v>235</v>
      </c>
      <c r="F3" s="259" t="s">
        <v>236</v>
      </c>
      <c r="G3" s="261" t="s">
        <v>237</v>
      </c>
      <c r="H3" s="312"/>
      <c r="I3" s="702"/>
      <c r="J3" s="458"/>
      <c r="K3" s="258" t="s">
        <v>235</v>
      </c>
      <c r="L3" s="259" t="s">
        <v>236</v>
      </c>
      <c r="M3" s="261" t="s">
        <v>237</v>
      </c>
      <c r="N3" s="313" t="s">
        <v>235</v>
      </c>
      <c r="O3" s="259" t="s">
        <v>236</v>
      </c>
      <c r="P3" s="260" t="s">
        <v>237</v>
      </c>
      <c r="Q3" s="258" t="s">
        <v>235</v>
      </c>
      <c r="R3" s="259" t="s">
        <v>236</v>
      </c>
      <c r="S3" s="259" t="s">
        <v>237</v>
      </c>
      <c r="T3" s="261" t="s">
        <v>7</v>
      </c>
      <c r="U3" s="313" t="s">
        <v>235</v>
      </c>
      <c r="V3" s="259" t="s">
        <v>236</v>
      </c>
      <c r="W3" s="259" t="s">
        <v>237</v>
      </c>
      <c r="X3" s="261" t="s">
        <v>0</v>
      </c>
      <c r="Y3" s="258" t="s">
        <v>235</v>
      </c>
      <c r="Z3" s="259" t="s">
        <v>236</v>
      </c>
      <c r="AA3" s="259" t="s">
        <v>237</v>
      </c>
      <c r="AB3" s="261" t="s">
        <v>0</v>
      </c>
    </row>
    <row r="4" spans="1:28" ht="15" customHeight="1">
      <c r="A4" s="315">
        <f>I4</f>
        <v>2018</v>
      </c>
      <c r="B4" s="316">
        <v>0</v>
      </c>
      <c r="C4" s="316">
        <v>0</v>
      </c>
      <c r="D4" s="316">
        <v>0</v>
      </c>
      <c r="E4" s="316">
        <v>0</v>
      </c>
      <c r="F4" s="316">
        <v>0</v>
      </c>
      <c r="G4" s="317">
        <v>0</v>
      </c>
      <c r="H4" s="310"/>
      <c r="I4" s="318">
        <v>2018</v>
      </c>
      <c r="J4" s="318">
        <v>-2</v>
      </c>
      <c r="K4" s="319">
        <v>0</v>
      </c>
      <c r="L4" s="118">
        <v>0</v>
      </c>
      <c r="M4" s="320">
        <v>0</v>
      </c>
      <c r="N4" s="321">
        <v>0</v>
      </c>
      <c r="O4" s="118">
        <v>0</v>
      </c>
      <c r="P4" s="322">
        <v>0</v>
      </c>
      <c r="Q4" s="319">
        <f>SUM(K4,N4)</f>
        <v>0</v>
      </c>
      <c r="R4" s="118">
        <f aca="true" t="shared" si="0" ref="R4:S19">SUM(L4,O4)</f>
        <v>0</v>
      </c>
      <c r="S4" s="118">
        <f t="shared" si="0"/>
        <v>0</v>
      </c>
      <c r="T4" s="320">
        <f>SUM(Q4:S4)</f>
        <v>0</v>
      </c>
      <c r="U4" s="321">
        <f>Q4/((1+Inputs!$B$6)^(I4-Inputs!$B$10))</f>
        <v>0</v>
      </c>
      <c r="V4" s="118">
        <f>R4/((1+Inputs!$B$6)^(I4-Inputs!$B$10))</f>
        <v>0</v>
      </c>
      <c r="W4" s="118">
        <f>S4/((1+Inputs!$B$6)^(I4-Inputs!$B$10))</f>
        <v>0</v>
      </c>
      <c r="X4" s="320">
        <f>T4/((1+Inputs!$B$6)^(I4-Inputs!$B$10))</f>
        <v>0</v>
      </c>
      <c r="Y4" s="319">
        <f>Q4/((1+Inputs!$B$5)^(I4-Inputs!$B$10))</f>
        <v>0</v>
      </c>
      <c r="Z4" s="118">
        <f>R4/((1+Inputs!$B$5)^(I4-Inputs!$B$10))</f>
        <v>0</v>
      </c>
      <c r="AA4" s="118">
        <f>S4/((1+Inputs!$B$5)^(I4-Inputs!$B$10))</f>
        <v>0</v>
      </c>
      <c r="AB4" s="320">
        <f>T4/((1+Inputs!$B$5)^(I4-Inputs!$B$10))</f>
        <v>0</v>
      </c>
    </row>
    <row r="5" spans="1:28" ht="12">
      <c r="A5" s="315">
        <f aca="true" t="shared" si="1" ref="A5:A36">I5</f>
        <v>2019</v>
      </c>
      <c r="B5" s="316">
        <f aca="true" t="shared" si="2" ref="B5:G5">B43/100</f>
        <v>1</v>
      </c>
      <c r="C5" s="316">
        <f t="shared" si="2"/>
        <v>1</v>
      </c>
      <c r="D5" s="316">
        <f t="shared" si="2"/>
        <v>0.6</v>
      </c>
      <c r="E5" s="316">
        <f t="shared" si="2"/>
        <v>0.6</v>
      </c>
      <c r="F5" s="316">
        <f t="shared" si="2"/>
        <v>0.6</v>
      </c>
      <c r="G5" s="317">
        <f t="shared" si="2"/>
        <v>0</v>
      </c>
      <c r="H5" s="310"/>
      <c r="I5" s="318">
        <f>I4+1</f>
        <v>2019</v>
      </c>
      <c r="J5" s="318">
        <v>-1</v>
      </c>
      <c r="K5" s="319">
        <v>1073400</v>
      </c>
      <c r="L5" s="118">
        <v>1167000</v>
      </c>
      <c r="M5" s="320">
        <v>320313</v>
      </c>
      <c r="N5" s="321">
        <v>7174200</v>
      </c>
      <c r="O5" s="118">
        <v>5835000</v>
      </c>
      <c r="P5" s="322">
        <v>0</v>
      </c>
      <c r="Q5" s="319">
        <f>SUM(K5,N5)</f>
        <v>8247600</v>
      </c>
      <c r="R5" s="118">
        <f t="shared" si="0"/>
        <v>7002000</v>
      </c>
      <c r="S5" s="118">
        <f t="shared" si="0"/>
        <v>320313</v>
      </c>
      <c r="T5" s="320">
        <f aca="true" t="shared" si="3" ref="T5:T36">SUM(Q5:S5)</f>
        <v>15569913</v>
      </c>
      <c r="U5" s="321">
        <f>Q5/((1+Inputs!$B$6)^(I5-Inputs!$B$10))</f>
        <v>8007378.6407766985</v>
      </c>
      <c r="V5" s="118">
        <f>R5/((1+Inputs!$B$6)^(I5-Inputs!$B$10))</f>
        <v>6798058.252427184</v>
      </c>
      <c r="W5" s="118">
        <f>S5/((1+Inputs!$B$6)^(I5-Inputs!$B$10))</f>
        <v>310983.4951456311</v>
      </c>
      <c r="X5" s="320">
        <f>T5/((1+Inputs!$B$6)^(I5-Inputs!$B$10))</f>
        <v>15116420.388349514</v>
      </c>
      <c r="Y5" s="319">
        <f>Q5/((1+Inputs!$B$5)^(I5-Inputs!$B$10))</f>
        <v>7708037.38317757</v>
      </c>
      <c r="Z5" s="118">
        <f>R5/((1+Inputs!$B$5)^(I5-Inputs!$B$10))</f>
        <v>6543925.23364486</v>
      </c>
      <c r="AA5" s="118">
        <f>S5/((1+Inputs!$B$5)^(I5-Inputs!$B$10))</f>
        <v>299357.9439252336</v>
      </c>
      <c r="AB5" s="320">
        <f>T5/((1+Inputs!$B$5)^(I5-Inputs!$B$10))</f>
        <v>14551320.560747663</v>
      </c>
    </row>
    <row r="6" spans="1:28" ht="12">
      <c r="A6" s="315">
        <f t="shared" si="1"/>
        <v>2020</v>
      </c>
      <c r="B6" s="316">
        <f aca="true" t="shared" si="4" ref="B6:G6">B49/100</f>
        <v>0</v>
      </c>
      <c r="C6" s="316">
        <f t="shared" si="4"/>
        <v>0</v>
      </c>
      <c r="D6" s="316">
        <f t="shared" si="4"/>
        <v>0.4</v>
      </c>
      <c r="E6" s="316">
        <f t="shared" si="4"/>
        <v>0.4</v>
      </c>
      <c r="F6" s="316">
        <f t="shared" si="4"/>
        <v>0.4</v>
      </c>
      <c r="G6" s="317">
        <f t="shared" si="4"/>
        <v>1</v>
      </c>
      <c r="H6" s="310"/>
      <c r="I6" s="318">
        <f aca="true" t="shared" si="5" ref="I6:J36">I5+1</f>
        <v>2020</v>
      </c>
      <c r="J6" s="318">
        <v>0</v>
      </c>
      <c r="K6" s="319">
        <v>0</v>
      </c>
      <c r="L6" s="118">
        <v>0</v>
      </c>
      <c r="M6" s="320">
        <v>213542</v>
      </c>
      <c r="N6" s="321">
        <v>4782800</v>
      </c>
      <c r="O6" s="118">
        <v>3890000</v>
      </c>
      <c r="P6" s="322">
        <v>5338550</v>
      </c>
      <c r="Q6" s="319">
        <f>SUM(K6,N6)</f>
        <v>4782800</v>
      </c>
      <c r="R6" s="118">
        <f t="shared" si="0"/>
        <v>3890000</v>
      </c>
      <c r="S6" s="118">
        <f t="shared" si="0"/>
        <v>5552092</v>
      </c>
      <c r="T6" s="320">
        <f t="shared" si="3"/>
        <v>14224892</v>
      </c>
      <c r="U6" s="321">
        <f>Q6/((1+Inputs!$B$6)^(I6-Inputs!$B$10))</f>
        <v>4508247.71420492</v>
      </c>
      <c r="V6" s="118">
        <f>R6/((1+Inputs!$B$6)^(I6-Inputs!$B$10))</f>
        <v>3666698.0865303045</v>
      </c>
      <c r="W6" s="118">
        <f>S6/((1+Inputs!$B$6)^(I6-Inputs!$B$10))</f>
        <v>5233379.206334244</v>
      </c>
      <c r="X6" s="320">
        <f>T6/((1+Inputs!$B$6)^(I6-Inputs!$B$10))</f>
        <v>13408325.00706947</v>
      </c>
      <c r="Y6" s="319">
        <f>Q6/((1+Inputs!$B$5)^(I6-Inputs!$B$10))</f>
        <v>4177482.7495851163</v>
      </c>
      <c r="Z6" s="118">
        <f>R6/((1+Inputs!$B$5)^(I6-Inputs!$B$10))</f>
        <v>3397676.6529827933</v>
      </c>
      <c r="AA6" s="118">
        <f>S6/((1+Inputs!$B$5)^(I6-Inputs!$B$10))</f>
        <v>4849412.175735872</v>
      </c>
      <c r="AB6" s="320">
        <f>T6/((1+Inputs!$B$5)^(I6-Inputs!$B$10))</f>
        <v>12424571.578303782</v>
      </c>
    </row>
    <row r="7" spans="1:28" ht="12">
      <c r="A7" s="315">
        <f t="shared" si="1"/>
        <v>2021</v>
      </c>
      <c r="B7" s="316"/>
      <c r="C7" s="316"/>
      <c r="D7" s="316"/>
      <c r="E7" s="316"/>
      <c r="F7" s="316"/>
      <c r="G7" s="317"/>
      <c r="H7" s="310"/>
      <c r="I7" s="318">
        <f t="shared" si="5"/>
        <v>2021</v>
      </c>
      <c r="J7" s="318">
        <v>1</v>
      </c>
      <c r="K7" s="319">
        <v>0</v>
      </c>
      <c r="L7" s="118">
        <v>0</v>
      </c>
      <c r="M7" s="320">
        <v>0</v>
      </c>
      <c r="N7" s="321">
        <v>0</v>
      </c>
      <c r="O7" s="118">
        <v>0</v>
      </c>
      <c r="P7" s="322">
        <v>0</v>
      </c>
      <c r="Q7" s="319">
        <f aca="true" t="shared" si="6" ref="Q7:S36">SUM(K7,N7)</f>
        <v>0</v>
      </c>
      <c r="R7" s="118">
        <f t="shared" si="0"/>
        <v>0</v>
      </c>
      <c r="S7" s="118">
        <f t="shared" si="0"/>
        <v>0</v>
      </c>
      <c r="T7" s="320">
        <f t="shared" si="3"/>
        <v>0</v>
      </c>
      <c r="U7" s="321">
        <f>Q7/((1+Inputs!$B$6)^(I7-Inputs!$B$10))</f>
        <v>0</v>
      </c>
      <c r="V7" s="118">
        <f>R7/((1+Inputs!$B$6)^(I7-Inputs!$B$10))</f>
        <v>0</v>
      </c>
      <c r="W7" s="118">
        <f>S7/((1+Inputs!$B$6)^(I7-Inputs!$B$10))</f>
        <v>0</v>
      </c>
      <c r="X7" s="320">
        <f>T7/((1+Inputs!$B$6)^(I7-Inputs!$B$10))</f>
        <v>0</v>
      </c>
      <c r="Y7" s="319">
        <f>Q7/((1+Inputs!$B$5)^(I7-Inputs!$B$10))</f>
        <v>0</v>
      </c>
      <c r="Z7" s="118">
        <f>R7/((1+Inputs!$B$5)^(I7-Inputs!$B$10))</f>
        <v>0</v>
      </c>
      <c r="AA7" s="118">
        <f>S7/((1+Inputs!$B$5)^(I7-Inputs!$B$10))</f>
        <v>0</v>
      </c>
      <c r="AB7" s="320">
        <f>T7/((1+Inputs!$B$5)^(I7-Inputs!$B$10))</f>
        <v>0</v>
      </c>
    </row>
    <row r="8" spans="1:28" ht="12">
      <c r="A8" s="315">
        <f t="shared" si="1"/>
        <v>2022</v>
      </c>
      <c r="B8" s="316"/>
      <c r="C8" s="316"/>
      <c r="D8" s="316"/>
      <c r="E8" s="316"/>
      <c r="F8" s="316"/>
      <c r="G8" s="317"/>
      <c r="H8" s="310"/>
      <c r="I8" s="318">
        <f t="shared" si="5"/>
        <v>2022</v>
      </c>
      <c r="J8" s="318">
        <f>J7+1</f>
        <v>2</v>
      </c>
      <c r="K8" s="319">
        <v>0</v>
      </c>
      <c r="L8" s="118">
        <v>0</v>
      </c>
      <c r="M8" s="320">
        <v>0</v>
      </c>
      <c r="N8" s="321">
        <v>0</v>
      </c>
      <c r="O8" s="118">
        <v>0</v>
      </c>
      <c r="P8" s="322">
        <v>0</v>
      </c>
      <c r="Q8" s="319">
        <f t="shared" si="6"/>
        <v>0</v>
      </c>
      <c r="R8" s="118">
        <f t="shared" si="0"/>
        <v>0</v>
      </c>
      <c r="S8" s="118">
        <f t="shared" si="0"/>
        <v>0</v>
      </c>
      <c r="T8" s="320">
        <f t="shared" si="3"/>
        <v>0</v>
      </c>
      <c r="U8" s="321">
        <f>Q8/((1+Inputs!$B$6)^(I8-Inputs!$B$10))</f>
        <v>0</v>
      </c>
      <c r="V8" s="118">
        <f>R8/((1+Inputs!$B$6)^(I8-Inputs!$B$10))</f>
        <v>0</v>
      </c>
      <c r="W8" s="118">
        <f>S8/((1+Inputs!$B$6)^(I8-Inputs!$B$10))</f>
        <v>0</v>
      </c>
      <c r="X8" s="320">
        <f>T8/((1+Inputs!$B$6)^(I8-Inputs!$B$10))</f>
        <v>0</v>
      </c>
      <c r="Y8" s="319">
        <f>Q8/((1+Inputs!$B$5)^(I8-Inputs!$B$10))</f>
        <v>0</v>
      </c>
      <c r="Z8" s="118">
        <f>R8/((1+Inputs!$B$5)^(I8-Inputs!$B$10))</f>
        <v>0</v>
      </c>
      <c r="AA8" s="118">
        <f>S8/((1+Inputs!$B$5)^(I8-Inputs!$B$10))</f>
        <v>0</v>
      </c>
      <c r="AB8" s="320">
        <f>T8/((1+Inputs!$B$5)^(I8-Inputs!$B$10))</f>
        <v>0</v>
      </c>
    </row>
    <row r="9" spans="1:28" ht="12">
      <c r="A9" s="315">
        <f t="shared" si="1"/>
        <v>2023</v>
      </c>
      <c r="B9" s="316"/>
      <c r="C9" s="316"/>
      <c r="D9" s="316"/>
      <c r="E9" s="316"/>
      <c r="F9" s="316"/>
      <c r="G9" s="317"/>
      <c r="H9" s="310"/>
      <c r="I9" s="318">
        <f t="shared" si="5"/>
        <v>2023</v>
      </c>
      <c r="J9" s="318">
        <f t="shared" si="5"/>
        <v>3</v>
      </c>
      <c r="K9" s="319">
        <v>0</v>
      </c>
      <c r="L9" s="118">
        <v>0</v>
      </c>
      <c r="M9" s="320">
        <v>0</v>
      </c>
      <c r="N9" s="321">
        <v>0</v>
      </c>
      <c r="O9" s="118">
        <v>0</v>
      </c>
      <c r="P9" s="322">
        <v>0</v>
      </c>
      <c r="Q9" s="319">
        <f t="shared" si="6"/>
        <v>0</v>
      </c>
      <c r="R9" s="118">
        <f t="shared" si="0"/>
        <v>0</v>
      </c>
      <c r="S9" s="118">
        <f t="shared" si="0"/>
        <v>0</v>
      </c>
      <c r="T9" s="320">
        <f t="shared" si="3"/>
        <v>0</v>
      </c>
      <c r="U9" s="321">
        <f>Q9/((1+Inputs!$B$6)^(I9-Inputs!$B$10))</f>
        <v>0</v>
      </c>
      <c r="V9" s="118">
        <f>R9/((1+Inputs!$B$6)^(I9-Inputs!$B$10))</f>
        <v>0</v>
      </c>
      <c r="W9" s="118">
        <f>S9/((1+Inputs!$B$6)^(I9-Inputs!$B$10))</f>
        <v>0</v>
      </c>
      <c r="X9" s="320">
        <f>T9/((1+Inputs!$B$6)^(I9-Inputs!$B$10))</f>
        <v>0</v>
      </c>
      <c r="Y9" s="319">
        <f>Q9/((1+Inputs!$B$5)^(I9-Inputs!$B$10))</f>
        <v>0</v>
      </c>
      <c r="Z9" s="118">
        <f>R9/((1+Inputs!$B$5)^(I9-Inputs!$B$10))</f>
        <v>0</v>
      </c>
      <c r="AA9" s="118">
        <f>S9/((1+Inputs!$B$5)^(I9-Inputs!$B$10))</f>
        <v>0</v>
      </c>
      <c r="AB9" s="320">
        <f>T9/((1+Inputs!$B$5)^(I9-Inputs!$B$10))</f>
        <v>0</v>
      </c>
    </row>
    <row r="10" spans="1:28" ht="12">
      <c r="A10" s="315">
        <f t="shared" si="1"/>
        <v>2024</v>
      </c>
      <c r="B10" s="316"/>
      <c r="C10" s="316"/>
      <c r="D10" s="316"/>
      <c r="E10" s="316"/>
      <c r="F10" s="316"/>
      <c r="G10" s="317"/>
      <c r="H10" s="310"/>
      <c r="I10" s="318">
        <f t="shared" si="5"/>
        <v>2024</v>
      </c>
      <c r="J10" s="318">
        <f t="shared" si="5"/>
        <v>4</v>
      </c>
      <c r="K10" s="319">
        <v>0</v>
      </c>
      <c r="L10" s="118">
        <v>0</v>
      </c>
      <c r="M10" s="320">
        <v>0</v>
      </c>
      <c r="N10" s="321">
        <v>0</v>
      </c>
      <c r="O10" s="118">
        <v>0</v>
      </c>
      <c r="P10" s="322">
        <v>0</v>
      </c>
      <c r="Q10" s="319">
        <f t="shared" si="6"/>
        <v>0</v>
      </c>
      <c r="R10" s="118">
        <f t="shared" si="0"/>
        <v>0</v>
      </c>
      <c r="S10" s="118">
        <f t="shared" si="0"/>
        <v>0</v>
      </c>
      <c r="T10" s="320">
        <f t="shared" si="3"/>
        <v>0</v>
      </c>
      <c r="U10" s="321">
        <f>Q10/((1+Inputs!$B$6)^(I10-Inputs!$B$10))</f>
        <v>0</v>
      </c>
      <c r="V10" s="118">
        <f>R10/((1+Inputs!$B$6)^(I10-Inputs!$B$10))</f>
        <v>0</v>
      </c>
      <c r="W10" s="118">
        <f>S10/((1+Inputs!$B$6)^(I10-Inputs!$B$10))</f>
        <v>0</v>
      </c>
      <c r="X10" s="320">
        <f>T10/((1+Inputs!$B$6)^(I10-Inputs!$B$10))</f>
        <v>0</v>
      </c>
      <c r="Y10" s="319">
        <f>Q10/((1+Inputs!$B$5)^(I10-Inputs!$B$10))</f>
        <v>0</v>
      </c>
      <c r="Z10" s="118">
        <f>R10/((1+Inputs!$B$5)^(I10-Inputs!$B$10))</f>
        <v>0</v>
      </c>
      <c r="AA10" s="118">
        <f>S10/((1+Inputs!$B$5)^(I10-Inputs!$B$10))</f>
        <v>0</v>
      </c>
      <c r="AB10" s="320">
        <f>T10/((1+Inputs!$B$5)^(I10-Inputs!$B$10))</f>
        <v>0</v>
      </c>
    </row>
    <row r="11" spans="1:28" ht="12">
      <c r="A11" s="315">
        <f t="shared" si="1"/>
        <v>2025</v>
      </c>
      <c r="B11" s="316"/>
      <c r="C11" s="316"/>
      <c r="D11" s="316"/>
      <c r="E11" s="316"/>
      <c r="F11" s="316"/>
      <c r="G11" s="317"/>
      <c r="H11" s="310"/>
      <c r="I11" s="318">
        <f t="shared" si="5"/>
        <v>2025</v>
      </c>
      <c r="J11" s="318">
        <f t="shared" si="5"/>
        <v>5</v>
      </c>
      <c r="K11" s="319">
        <v>0</v>
      </c>
      <c r="L11" s="118">
        <v>0</v>
      </c>
      <c r="M11" s="320">
        <v>0</v>
      </c>
      <c r="N11" s="321">
        <v>0</v>
      </c>
      <c r="O11" s="118">
        <v>0</v>
      </c>
      <c r="P11" s="322">
        <v>0</v>
      </c>
      <c r="Q11" s="319">
        <f t="shared" si="6"/>
        <v>0</v>
      </c>
      <c r="R11" s="118">
        <f t="shared" si="0"/>
        <v>0</v>
      </c>
      <c r="S11" s="118">
        <f t="shared" si="0"/>
        <v>0</v>
      </c>
      <c r="T11" s="320">
        <f t="shared" si="3"/>
        <v>0</v>
      </c>
      <c r="U11" s="321">
        <f>Q11/((1+Inputs!$B$6)^(I11-Inputs!$B$10))</f>
        <v>0</v>
      </c>
      <c r="V11" s="118">
        <f>R11/((1+Inputs!$B$6)^(I11-Inputs!$B$10))</f>
        <v>0</v>
      </c>
      <c r="W11" s="118">
        <f>S11/((1+Inputs!$B$6)^(I11-Inputs!$B$10))</f>
        <v>0</v>
      </c>
      <c r="X11" s="320">
        <f>T11/((1+Inputs!$B$6)^(I11-Inputs!$B$10))</f>
        <v>0</v>
      </c>
      <c r="Y11" s="319">
        <f>Q11/((1+Inputs!$B$5)^(I11-Inputs!$B$10))</f>
        <v>0</v>
      </c>
      <c r="Z11" s="118">
        <f>R11/((1+Inputs!$B$5)^(I11-Inputs!$B$10))</f>
        <v>0</v>
      </c>
      <c r="AA11" s="118">
        <f>S11/((1+Inputs!$B$5)^(I11-Inputs!$B$10))</f>
        <v>0</v>
      </c>
      <c r="AB11" s="320">
        <f>T11/((1+Inputs!$B$5)^(I11-Inputs!$B$10))</f>
        <v>0</v>
      </c>
    </row>
    <row r="12" spans="1:28" ht="12">
      <c r="A12" s="315">
        <f t="shared" si="1"/>
        <v>2026</v>
      </c>
      <c r="B12" s="316"/>
      <c r="C12" s="316"/>
      <c r="D12" s="316"/>
      <c r="E12" s="316"/>
      <c r="F12" s="316"/>
      <c r="G12" s="317"/>
      <c r="H12" s="310"/>
      <c r="I12" s="318">
        <f t="shared" si="5"/>
        <v>2026</v>
      </c>
      <c r="J12" s="318">
        <f t="shared" si="5"/>
        <v>6</v>
      </c>
      <c r="K12" s="319">
        <v>0</v>
      </c>
      <c r="L12" s="118">
        <v>0</v>
      </c>
      <c r="M12" s="320">
        <v>0</v>
      </c>
      <c r="N12" s="321">
        <v>0</v>
      </c>
      <c r="O12" s="118">
        <v>0</v>
      </c>
      <c r="P12" s="322">
        <v>0</v>
      </c>
      <c r="Q12" s="319">
        <f t="shared" si="6"/>
        <v>0</v>
      </c>
      <c r="R12" s="118">
        <f t="shared" si="0"/>
        <v>0</v>
      </c>
      <c r="S12" s="118">
        <f t="shared" si="0"/>
        <v>0</v>
      </c>
      <c r="T12" s="320">
        <f t="shared" si="3"/>
        <v>0</v>
      </c>
      <c r="U12" s="321">
        <f>Q12/((1+Inputs!$B$6)^(I12-Inputs!$B$10))</f>
        <v>0</v>
      </c>
      <c r="V12" s="118">
        <f>R12/((1+Inputs!$B$6)^(I12-Inputs!$B$10))</f>
        <v>0</v>
      </c>
      <c r="W12" s="118">
        <f>S12/((1+Inputs!$B$6)^(I12-Inputs!$B$10))</f>
        <v>0</v>
      </c>
      <c r="X12" s="320">
        <f>T12/((1+Inputs!$B$6)^(I12-Inputs!$B$10))</f>
        <v>0</v>
      </c>
      <c r="Y12" s="319">
        <f>Q12/((1+Inputs!$B$5)^(I12-Inputs!$B$10))</f>
        <v>0</v>
      </c>
      <c r="Z12" s="118">
        <f>R12/((1+Inputs!$B$5)^(I12-Inputs!$B$10))</f>
        <v>0</v>
      </c>
      <c r="AA12" s="118">
        <f>S12/((1+Inputs!$B$5)^(I12-Inputs!$B$10))</f>
        <v>0</v>
      </c>
      <c r="AB12" s="320">
        <f>T12/((1+Inputs!$B$5)^(I12-Inputs!$B$10))</f>
        <v>0</v>
      </c>
    </row>
    <row r="13" spans="1:28" ht="12">
      <c r="A13" s="315">
        <f t="shared" si="1"/>
        <v>2027</v>
      </c>
      <c r="B13" s="316"/>
      <c r="C13" s="316"/>
      <c r="D13" s="316"/>
      <c r="E13" s="316"/>
      <c r="F13" s="316"/>
      <c r="G13" s="317"/>
      <c r="H13" s="310"/>
      <c r="I13" s="318">
        <f t="shared" si="5"/>
        <v>2027</v>
      </c>
      <c r="J13" s="318">
        <f t="shared" si="5"/>
        <v>7</v>
      </c>
      <c r="K13" s="319">
        <v>0</v>
      </c>
      <c r="L13" s="118">
        <v>0</v>
      </c>
      <c r="M13" s="320">
        <v>0</v>
      </c>
      <c r="N13" s="321">
        <v>0</v>
      </c>
      <c r="O13" s="118">
        <v>0</v>
      </c>
      <c r="P13" s="322">
        <v>0</v>
      </c>
      <c r="Q13" s="319">
        <f t="shared" si="6"/>
        <v>0</v>
      </c>
      <c r="R13" s="118">
        <f t="shared" si="0"/>
        <v>0</v>
      </c>
      <c r="S13" s="118">
        <f t="shared" si="0"/>
        <v>0</v>
      </c>
      <c r="T13" s="320">
        <f t="shared" si="3"/>
        <v>0</v>
      </c>
      <c r="U13" s="321">
        <f>Q13/((1+Inputs!$B$6)^(I13-Inputs!$B$10))</f>
        <v>0</v>
      </c>
      <c r="V13" s="118">
        <f>R13/((1+Inputs!$B$6)^(I13-Inputs!$B$10))</f>
        <v>0</v>
      </c>
      <c r="W13" s="118">
        <f>S13/((1+Inputs!$B$6)^(I13-Inputs!$B$10))</f>
        <v>0</v>
      </c>
      <c r="X13" s="320">
        <f>T13/((1+Inputs!$B$6)^(I13-Inputs!$B$10))</f>
        <v>0</v>
      </c>
      <c r="Y13" s="319">
        <f>Q13/((1+Inputs!$B$5)^(I13-Inputs!$B$10))</f>
        <v>0</v>
      </c>
      <c r="Z13" s="118">
        <f>R13/((1+Inputs!$B$5)^(I13-Inputs!$B$10))</f>
        <v>0</v>
      </c>
      <c r="AA13" s="118">
        <f>S13/((1+Inputs!$B$5)^(I13-Inputs!$B$10))</f>
        <v>0</v>
      </c>
      <c r="AB13" s="320">
        <f>T13/((1+Inputs!$B$5)^(I13-Inputs!$B$10))</f>
        <v>0</v>
      </c>
    </row>
    <row r="14" spans="1:28" ht="12">
      <c r="A14" s="315">
        <f t="shared" si="1"/>
        <v>2028</v>
      </c>
      <c r="B14" s="316"/>
      <c r="C14" s="316"/>
      <c r="D14" s="316"/>
      <c r="E14" s="316"/>
      <c r="F14" s="316"/>
      <c r="G14" s="317"/>
      <c r="H14" s="310"/>
      <c r="I14" s="318">
        <f t="shared" si="5"/>
        <v>2028</v>
      </c>
      <c r="J14" s="318">
        <f t="shared" si="5"/>
        <v>8</v>
      </c>
      <c r="K14" s="319">
        <v>0</v>
      </c>
      <c r="L14" s="118">
        <v>0</v>
      </c>
      <c r="M14" s="320">
        <v>0</v>
      </c>
      <c r="N14" s="321">
        <v>0</v>
      </c>
      <c r="O14" s="118">
        <v>0</v>
      </c>
      <c r="P14" s="322">
        <v>0</v>
      </c>
      <c r="Q14" s="319">
        <f t="shared" si="6"/>
        <v>0</v>
      </c>
      <c r="R14" s="118">
        <f t="shared" si="0"/>
        <v>0</v>
      </c>
      <c r="S14" s="118">
        <f t="shared" si="0"/>
        <v>0</v>
      </c>
      <c r="T14" s="320">
        <f t="shared" si="3"/>
        <v>0</v>
      </c>
      <c r="U14" s="321">
        <f>Q14/((1+Inputs!$B$6)^(I14-Inputs!$B$10))</f>
        <v>0</v>
      </c>
      <c r="V14" s="118">
        <f>R14/((1+Inputs!$B$6)^(I14-Inputs!$B$10))</f>
        <v>0</v>
      </c>
      <c r="W14" s="118">
        <f>S14/((1+Inputs!$B$6)^(I14-Inputs!$B$10))</f>
        <v>0</v>
      </c>
      <c r="X14" s="320">
        <f>T14/((1+Inputs!$B$6)^(I14-Inputs!$B$10))</f>
        <v>0</v>
      </c>
      <c r="Y14" s="319">
        <f>Q14/((1+Inputs!$B$5)^(I14-Inputs!$B$10))</f>
        <v>0</v>
      </c>
      <c r="Z14" s="118">
        <f>R14/((1+Inputs!$B$5)^(I14-Inputs!$B$10))</f>
        <v>0</v>
      </c>
      <c r="AA14" s="118">
        <f>S14/((1+Inputs!$B$5)^(I14-Inputs!$B$10))</f>
        <v>0</v>
      </c>
      <c r="AB14" s="320">
        <f>T14/((1+Inputs!$B$5)^(I14-Inputs!$B$10))</f>
        <v>0</v>
      </c>
    </row>
    <row r="15" spans="1:28" ht="12">
      <c r="A15" s="315">
        <f t="shared" si="1"/>
        <v>2029</v>
      </c>
      <c r="B15" s="316"/>
      <c r="C15" s="316"/>
      <c r="D15" s="316"/>
      <c r="E15" s="316"/>
      <c r="F15" s="316"/>
      <c r="G15" s="317"/>
      <c r="H15" s="310"/>
      <c r="I15" s="318">
        <f t="shared" si="5"/>
        <v>2029</v>
      </c>
      <c r="J15" s="318">
        <f t="shared" si="5"/>
        <v>9</v>
      </c>
      <c r="K15" s="319">
        <v>0</v>
      </c>
      <c r="L15" s="118">
        <v>0</v>
      </c>
      <c r="M15" s="320">
        <v>0</v>
      </c>
      <c r="N15" s="321">
        <v>0</v>
      </c>
      <c r="O15" s="118">
        <v>0</v>
      </c>
      <c r="P15" s="322">
        <v>0</v>
      </c>
      <c r="Q15" s="319">
        <f t="shared" si="6"/>
        <v>0</v>
      </c>
      <c r="R15" s="118">
        <f t="shared" si="0"/>
        <v>0</v>
      </c>
      <c r="S15" s="118">
        <f t="shared" si="0"/>
        <v>0</v>
      </c>
      <c r="T15" s="320">
        <f t="shared" si="3"/>
        <v>0</v>
      </c>
      <c r="U15" s="321">
        <f>Q15/((1+Inputs!$B$6)^(I15-Inputs!$B$10))</f>
        <v>0</v>
      </c>
      <c r="V15" s="118">
        <f>R15/((1+Inputs!$B$6)^(I15-Inputs!$B$10))</f>
        <v>0</v>
      </c>
      <c r="W15" s="118">
        <f>S15/((1+Inputs!$B$6)^(I15-Inputs!$B$10))</f>
        <v>0</v>
      </c>
      <c r="X15" s="320">
        <f>T15/((1+Inputs!$B$6)^(I15-Inputs!$B$10))</f>
        <v>0</v>
      </c>
      <c r="Y15" s="319">
        <f>Q15/((1+Inputs!$B$5)^(I15-Inputs!$B$10))</f>
        <v>0</v>
      </c>
      <c r="Z15" s="118">
        <f>R15/((1+Inputs!$B$5)^(I15-Inputs!$B$10))</f>
        <v>0</v>
      </c>
      <c r="AA15" s="118">
        <f>S15/((1+Inputs!$B$5)^(I15-Inputs!$B$10))</f>
        <v>0</v>
      </c>
      <c r="AB15" s="320">
        <f>T15/((1+Inputs!$B$5)^(I15-Inputs!$B$10))</f>
        <v>0</v>
      </c>
    </row>
    <row r="16" spans="1:28" ht="12">
      <c r="A16" s="315">
        <f t="shared" si="1"/>
        <v>2030</v>
      </c>
      <c r="B16" s="316"/>
      <c r="C16" s="316"/>
      <c r="D16" s="316"/>
      <c r="E16" s="316"/>
      <c r="F16" s="316"/>
      <c r="G16" s="317"/>
      <c r="H16" s="310"/>
      <c r="I16" s="318">
        <f t="shared" si="5"/>
        <v>2030</v>
      </c>
      <c r="J16" s="318">
        <f t="shared" si="5"/>
        <v>10</v>
      </c>
      <c r="K16" s="319">
        <v>0</v>
      </c>
      <c r="L16" s="118">
        <v>0</v>
      </c>
      <c r="M16" s="320">
        <v>0</v>
      </c>
      <c r="N16" s="321">
        <v>0</v>
      </c>
      <c r="O16" s="118">
        <v>0</v>
      </c>
      <c r="P16" s="322">
        <v>0</v>
      </c>
      <c r="Q16" s="319">
        <f t="shared" si="6"/>
        <v>0</v>
      </c>
      <c r="R16" s="118">
        <f t="shared" si="0"/>
        <v>0</v>
      </c>
      <c r="S16" s="118">
        <f t="shared" si="0"/>
        <v>0</v>
      </c>
      <c r="T16" s="320">
        <f t="shared" si="3"/>
        <v>0</v>
      </c>
      <c r="U16" s="321">
        <f>Q16/((1+Inputs!$B$6)^(I16-Inputs!$B$10))</f>
        <v>0</v>
      </c>
      <c r="V16" s="118">
        <f>R16/((1+Inputs!$B$6)^(I16-Inputs!$B$10))</f>
        <v>0</v>
      </c>
      <c r="W16" s="118">
        <f>S16/((1+Inputs!$B$6)^(I16-Inputs!$B$10))</f>
        <v>0</v>
      </c>
      <c r="X16" s="320">
        <f>T16/((1+Inputs!$B$6)^(I16-Inputs!$B$10))</f>
        <v>0</v>
      </c>
      <c r="Y16" s="319">
        <f>Q16/((1+Inputs!$B$5)^(I16-Inputs!$B$10))</f>
        <v>0</v>
      </c>
      <c r="Z16" s="118">
        <f>R16/((1+Inputs!$B$5)^(I16-Inputs!$B$10))</f>
        <v>0</v>
      </c>
      <c r="AA16" s="118">
        <f>S16/((1+Inputs!$B$5)^(I16-Inputs!$B$10))</f>
        <v>0</v>
      </c>
      <c r="AB16" s="320">
        <f>T16/((1+Inputs!$B$5)^(I16-Inputs!$B$10))</f>
        <v>0</v>
      </c>
    </row>
    <row r="17" spans="1:28" ht="12">
      <c r="A17" s="315">
        <f t="shared" si="1"/>
        <v>2031</v>
      </c>
      <c r="B17" s="316"/>
      <c r="C17" s="316"/>
      <c r="D17" s="316"/>
      <c r="E17" s="316"/>
      <c r="F17" s="316"/>
      <c r="G17" s="317"/>
      <c r="H17" s="310"/>
      <c r="I17" s="318">
        <f t="shared" si="5"/>
        <v>2031</v>
      </c>
      <c r="J17" s="318">
        <f t="shared" si="5"/>
        <v>11</v>
      </c>
      <c r="K17" s="319">
        <v>0</v>
      </c>
      <c r="L17" s="118">
        <v>0</v>
      </c>
      <c r="M17" s="320">
        <v>0</v>
      </c>
      <c r="N17" s="321">
        <v>0</v>
      </c>
      <c r="O17" s="118">
        <v>0</v>
      </c>
      <c r="P17" s="322">
        <v>0</v>
      </c>
      <c r="Q17" s="319">
        <f t="shared" si="6"/>
        <v>0</v>
      </c>
      <c r="R17" s="118">
        <f t="shared" si="0"/>
        <v>0</v>
      </c>
      <c r="S17" s="118">
        <f t="shared" si="0"/>
        <v>0</v>
      </c>
      <c r="T17" s="320">
        <f t="shared" si="3"/>
        <v>0</v>
      </c>
      <c r="U17" s="321">
        <f>Q17/((1+Inputs!$B$6)^(I17-Inputs!$B$10))</f>
        <v>0</v>
      </c>
      <c r="V17" s="118">
        <f>R17/((1+Inputs!$B$6)^(I17-Inputs!$B$10))</f>
        <v>0</v>
      </c>
      <c r="W17" s="118">
        <f>S17/((1+Inputs!$B$6)^(I17-Inputs!$B$10))</f>
        <v>0</v>
      </c>
      <c r="X17" s="320">
        <f>T17/((1+Inputs!$B$6)^(I17-Inputs!$B$10))</f>
        <v>0</v>
      </c>
      <c r="Y17" s="319">
        <f>Q17/((1+Inputs!$B$5)^(I17-Inputs!$B$10))</f>
        <v>0</v>
      </c>
      <c r="Z17" s="118">
        <f>R17/((1+Inputs!$B$5)^(I17-Inputs!$B$10))</f>
        <v>0</v>
      </c>
      <c r="AA17" s="118">
        <f>S17/((1+Inputs!$B$5)^(I17-Inputs!$B$10))</f>
        <v>0</v>
      </c>
      <c r="AB17" s="320">
        <f>T17/((1+Inputs!$B$5)^(I17-Inputs!$B$10))</f>
        <v>0</v>
      </c>
    </row>
    <row r="18" spans="1:28" ht="12">
      <c r="A18" s="315">
        <f t="shared" si="1"/>
        <v>2032</v>
      </c>
      <c r="B18" s="316"/>
      <c r="C18" s="316"/>
      <c r="D18" s="316"/>
      <c r="E18" s="316"/>
      <c r="F18" s="316"/>
      <c r="G18" s="317"/>
      <c r="H18" s="310"/>
      <c r="I18" s="318">
        <f t="shared" si="5"/>
        <v>2032</v>
      </c>
      <c r="J18" s="318">
        <f t="shared" si="5"/>
        <v>12</v>
      </c>
      <c r="K18" s="319">
        <v>0</v>
      </c>
      <c r="L18" s="118">
        <v>0</v>
      </c>
      <c r="M18" s="320">
        <v>0</v>
      </c>
      <c r="N18" s="321">
        <v>0</v>
      </c>
      <c r="O18" s="118">
        <v>0</v>
      </c>
      <c r="P18" s="322">
        <v>0</v>
      </c>
      <c r="Q18" s="319">
        <f t="shared" si="6"/>
        <v>0</v>
      </c>
      <c r="R18" s="118">
        <f t="shared" si="0"/>
        <v>0</v>
      </c>
      <c r="S18" s="118">
        <f t="shared" si="0"/>
        <v>0</v>
      </c>
      <c r="T18" s="320">
        <f t="shared" si="3"/>
        <v>0</v>
      </c>
      <c r="U18" s="321">
        <f>Q18/((1+Inputs!$B$6)^(I18-Inputs!$B$10))</f>
        <v>0</v>
      </c>
      <c r="V18" s="118">
        <f>R18/((1+Inputs!$B$6)^(I18-Inputs!$B$10))</f>
        <v>0</v>
      </c>
      <c r="W18" s="118">
        <f>S18/((1+Inputs!$B$6)^(I18-Inputs!$B$10))</f>
        <v>0</v>
      </c>
      <c r="X18" s="320">
        <f>T18/((1+Inputs!$B$6)^(I18-Inputs!$B$10))</f>
        <v>0</v>
      </c>
      <c r="Y18" s="319">
        <f>Q18/((1+Inputs!$B$5)^(I18-Inputs!$B$10))</f>
        <v>0</v>
      </c>
      <c r="Z18" s="118">
        <f>R18/((1+Inputs!$B$5)^(I18-Inputs!$B$10))</f>
        <v>0</v>
      </c>
      <c r="AA18" s="118">
        <f>S18/((1+Inputs!$B$5)^(I18-Inputs!$B$10))</f>
        <v>0</v>
      </c>
      <c r="AB18" s="320">
        <f>T18/((1+Inputs!$B$5)^(I18-Inputs!$B$10))</f>
        <v>0</v>
      </c>
    </row>
    <row r="19" spans="1:28" ht="12">
      <c r="A19" s="315">
        <f t="shared" si="1"/>
        <v>2033</v>
      </c>
      <c r="B19" s="316"/>
      <c r="C19" s="316"/>
      <c r="D19" s="316"/>
      <c r="E19" s="316"/>
      <c r="F19" s="316"/>
      <c r="G19" s="317"/>
      <c r="H19" s="310"/>
      <c r="I19" s="318">
        <f t="shared" si="5"/>
        <v>2033</v>
      </c>
      <c r="J19" s="318">
        <f t="shared" si="5"/>
        <v>13</v>
      </c>
      <c r="K19" s="319">
        <v>0</v>
      </c>
      <c r="L19" s="118">
        <v>0</v>
      </c>
      <c r="M19" s="320">
        <v>0</v>
      </c>
      <c r="N19" s="321">
        <v>0</v>
      </c>
      <c r="O19" s="118">
        <v>0</v>
      </c>
      <c r="P19" s="322">
        <v>0</v>
      </c>
      <c r="Q19" s="319">
        <f t="shared" si="6"/>
        <v>0</v>
      </c>
      <c r="R19" s="118">
        <f t="shared" si="0"/>
        <v>0</v>
      </c>
      <c r="S19" s="118">
        <f t="shared" si="0"/>
        <v>0</v>
      </c>
      <c r="T19" s="320">
        <f t="shared" si="3"/>
        <v>0</v>
      </c>
      <c r="U19" s="321">
        <f>Q19/((1+Inputs!$B$6)^(I19-Inputs!$B$10))</f>
        <v>0</v>
      </c>
      <c r="V19" s="118">
        <f>R19/((1+Inputs!$B$6)^(I19-Inputs!$B$10))</f>
        <v>0</v>
      </c>
      <c r="W19" s="118">
        <f>S19/((1+Inputs!$B$6)^(I19-Inputs!$B$10))</f>
        <v>0</v>
      </c>
      <c r="X19" s="320">
        <f>T19/((1+Inputs!$B$6)^(I19-Inputs!$B$10))</f>
        <v>0</v>
      </c>
      <c r="Y19" s="319">
        <f>Q19/((1+Inputs!$B$5)^(I19-Inputs!$B$10))</f>
        <v>0</v>
      </c>
      <c r="Z19" s="118">
        <f>R19/((1+Inputs!$B$5)^(I19-Inputs!$B$10))</f>
        <v>0</v>
      </c>
      <c r="AA19" s="118">
        <f>S19/((1+Inputs!$B$5)^(I19-Inputs!$B$10))</f>
        <v>0</v>
      </c>
      <c r="AB19" s="320">
        <f>T19/((1+Inputs!$B$5)^(I19-Inputs!$B$10))</f>
        <v>0</v>
      </c>
    </row>
    <row r="20" spans="1:28" ht="12">
      <c r="A20" s="315">
        <f t="shared" si="1"/>
        <v>2034</v>
      </c>
      <c r="B20" s="316"/>
      <c r="C20" s="316"/>
      <c r="D20" s="316"/>
      <c r="E20" s="316"/>
      <c r="F20" s="316"/>
      <c r="G20" s="317"/>
      <c r="H20" s="310"/>
      <c r="I20" s="318">
        <f t="shared" si="5"/>
        <v>2034</v>
      </c>
      <c r="J20" s="318">
        <f t="shared" si="5"/>
        <v>14</v>
      </c>
      <c r="K20" s="319">
        <v>0</v>
      </c>
      <c r="L20" s="118">
        <v>0</v>
      </c>
      <c r="M20" s="320">
        <v>0</v>
      </c>
      <c r="N20" s="321">
        <v>0</v>
      </c>
      <c r="O20" s="118">
        <v>0</v>
      </c>
      <c r="P20" s="322">
        <v>0</v>
      </c>
      <c r="Q20" s="319">
        <f t="shared" si="6"/>
        <v>0</v>
      </c>
      <c r="R20" s="118">
        <f t="shared" si="6"/>
        <v>0</v>
      </c>
      <c r="S20" s="118">
        <f t="shared" si="6"/>
        <v>0</v>
      </c>
      <c r="T20" s="320">
        <f t="shared" si="3"/>
        <v>0</v>
      </c>
      <c r="U20" s="321">
        <f>Q20/((1+Inputs!$B$6)^(I20-Inputs!$B$10))</f>
        <v>0</v>
      </c>
      <c r="V20" s="118">
        <f>R20/((1+Inputs!$B$6)^(I20-Inputs!$B$10))</f>
        <v>0</v>
      </c>
      <c r="W20" s="118">
        <f>S20/((1+Inputs!$B$6)^(I20-Inputs!$B$10))</f>
        <v>0</v>
      </c>
      <c r="X20" s="320">
        <f>T20/((1+Inputs!$B$6)^(I20-Inputs!$B$10))</f>
        <v>0</v>
      </c>
      <c r="Y20" s="319">
        <f>Q20/((1+Inputs!$B$5)^(I20-Inputs!$B$10))</f>
        <v>0</v>
      </c>
      <c r="Z20" s="118">
        <f>R20/((1+Inputs!$B$5)^(I20-Inputs!$B$10))</f>
        <v>0</v>
      </c>
      <c r="AA20" s="118">
        <f>S20/((1+Inputs!$B$5)^(I20-Inputs!$B$10))</f>
        <v>0</v>
      </c>
      <c r="AB20" s="320">
        <f>T20/((1+Inputs!$B$5)^(I20-Inputs!$B$10))</f>
        <v>0</v>
      </c>
    </row>
    <row r="21" spans="1:28" ht="12">
      <c r="A21" s="315">
        <f t="shared" si="1"/>
        <v>2035</v>
      </c>
      <c r="B21" s="316"/>
      <c r="C21" s="316"/>
      <c r="D21" s="316"/>
      <c r="E21" s="316"/>
      <c r="F21" s="316"/>
      <c r="G21" s="317"/>
      <c r="H21" s="310"/>
      <c r="I21" s="318">
        <f t="shared" si="5"/>
        <v>2035</v>
      </c>
      <c r="J21" s="318">
        <f t="shared" si="5"/>
        <v>15</v>
      </c>
      <c r="K21" s="319">
        <v>0</v>
      </c>
      <c r="L21" s="118">
        <v>0</v>
      </c>
      <c r="M21" s="320">
        <v>0</v>
      </c>
      <c r="N21" s="321">
        <v>0</v>
      </c>
      <c r="O21" s="118">
        <v>0</v>
      </c>
      <c r="P21" s="322">
        <v>0</v>
      </c>
      <c r="Q21" s="319">
        <f t="shared" si="6"/>
        <v>0</v>
      </c>
      <c r="R21" s="118">
        <f t="shared" si="6"/>
        <v>0</v>
      </c>
      <c r="S21" s="118">
        <f t="shared" si="6"/>
        <v>0</v>
      </c>
      <c r="T21" s="320">
        <f t="shared" si="3"/>
        <v>0</v>
      </c>
      <c r="U21" s="321">
        <f>Q21/((1+Inputs!$B$6)^(I21-Inputs!$B$10))</f>
        <v>0</v>
      </c>
      <c r="V21" s="118">
        <f>R21/((1+Inputs!$B$6)^(I21-Inputs!$B$10))</f>
        <v>0</v>
      </c>
      <c r="W21" s="118">
        <f>S21/((1+Inputs!$B$6)^(I21-Inputs!$B$10))</f>
        <v>0</v>
      </c>
      <c r="X21" s="320">
        <f>T21/((1+Inputs!$B$6)^(I21-Inputs!$B$10))</f>
        <v>0</v>
      </c>
      <c r="Y21" s="319">
        <f>Q21/((1+Inputs!$B$5)^(I21-Inputs!$B$10))</f>
        <v>0</v>
      </c>
      <c r="Z21" s="118">
        <f>R21/((1+Inputs!$B$5)^(I21-Inputs!$B$10))</f>
        <v>0</v>
      </c>
      <c r="AA21" s="118">
        <f>S21/((1+Inputs!$B$5)^(I21-Inputs!$B$10))</f>
        <v>0</v>
      </c>
      <c r="AB21" s="320">
        <f>T21/((1+Inputs!$B$5)^(I21-Inputs!$B$10))</f>
        <v>0</v>
      </c>
    </row>
    <row r="22" spans="1:28" ht="12">
      <c r="A22" s="315">
        <f t="shared" si="1"/>
        <v>2036</v>
      </c>
      <c r="B22" s="316"/>
      <c r="C22" s="316"/>
      <c r="D22" s="316"/>
      <c r="E22" s="316"/>
      <c r="F22" s="316"/>
      <c r="G22" s="317"/>
      <c r="H22" s="310"/>
      <c r="I22" s="318">
        <f t="shared" si="5"/>
        <v>2036</v>
      </c>
      <c r="J22" s="318">
        <f t="shared" si="5"/>
        <v>16</v>
      </c>
      <c r="K22" s="319">
        <v>0</v>
      </c>
      <c r="L22" s="118">
        <v>0</v>
      </c>
      <c r="M22" s="320">
        <v>0</v>
      </c>
      <c r="N22" s="321">
        <v>0</v>
      </c>
      <c r="O22" s="118">
        <v>0</v>
      </c>
      <c r="P22" s="322">
        <v>0</v>
      </c>
      <c r="Q22" s="319">
        <f t="shared" si="6"/>
        <v>0</v>
      </c>
      <c r="R22" s="118">
        <f t="shared" si="6"/>
        <v>0</v>
      </c>
      <c r="S22" s="118">
        <f t="shared" si="6"/>
        <v>0</v>
      </c>
      <c r="T22" s="320">
        <f t="shared" si="3"/>
        <v>0</v>
      </c>
      <c r="U22" s="321">
        <f>Q22/((1+Inputs!$B$6)^(I22-Inputs!$B$10))</f>
        <v>0</v>
      </c>
      <c r="V22" s="118">
        <f>R22/((1+Inputs!$B$6)^(I22-Inputs!$B$10))</f>
        <v>0</v>
      </c>
      <c r="W22" s="118">
        <f>S22/((1+Inputs!$B$6)^(I22-Inputs!$B$10))</f>
        <v>0</v>
      </c>
      <c r="X22" s="320">
        <f>T22/((1+Inputs!$B$6)^(I22-Inputs!$B$10))</f>
        <v>0</v>
      </c>
      <c r="Y22" s="319">
        <f>Q22/((1+Inputs!$B$5)^(I22-Inputs!$B$10))</f>
        <v>0</v>
      </c>
      <c r="Z22" s="118">
        <f>R22/((1+Inputs!$B$5)^(I22-Inputs!$B$10))</f>
        <v>0</v>
      </c>
      <c r="AA22" s="118">
        <f>S22/((1+Inputs!$B$5)^(I22-Inputs!$B$10))</f>
        <v>0</v>
      </c>
      <c r="AB22" s="320">
        <f>T22/((1+Inputs!$B$5)^(I22-Inputs!$B$10))</f>
        <v>0</v>
      </c>
    </row>
    <row r="23" spans="1:28" ht="12">
      <c r="A23" s="315">
        <f t="shared" si="1"/>
        <v>2037</v>
      </c>
      <c r="B23" s="316"/>
      <c r="C23" s="316"/>
      <c r="D23" s="316"/>
      <c r="E23" s="316"/>
      <c r="F23" s="316"/>
      <c r="G23" s="317"/>
      <c r="H23" s="310"/>
      <c r="I23" s="318">
        <f t="shared" si="5"/>
        <v>2037</v>
      </c>
      <c r="J23" s="318">
        <f t="shared" si="5"/>
        <v>17</v>
      </c>
      <c r="K23" s="319">
        <v>0</v>
      </c>
      <c r="L23" s="118">
        <v>0</v>
      </c>
      <c r="M23" s="320">
        <v>0</v>
      </c>
      <c r="N23" s="321">
        <v>0</v>
      </c>
      <c r="O23" s="118">
        <v>0</v>
      </c>
      <c r="P23" s="322">
        <v>0</v>
      </c>
      <c r="Q23" s="319">
        <f t="shared" si="6"/>
        <v>0</v>
      </c>
      <c r="R23" s="118">
        <f t="shared" si="6"/>
        <v>0</v>
      </c>
      <c r="S23" s="118">
        <f t="shared" si="6"/>
        <v>0</v>
      </c>
      <c r="T23" s="320">
        <f t="shared" si="3"/>
        <v>0</v>
      </c>
      <c r="U23" s="321">
        <f>Q23/((1+Inputs!$B$6)^(I23-Inputs!$B$10))</f>
        <v>0</v>
      </c>
      <c r="V23" s="118">
        <f>R23/((1+Inputs!$B$6)^(I23-Inputs!$B$10))</f>
        <v>0</v>
      </c>
      <c r="W23" s="118">
        <f>S23/((1+Inputs!$B$6)^(I23-Inputs!$B$10))</f>
        <v>0</v>
      </c>
      <c r="X23" s="320">
        <f>T23/((1+Inputs!$B$6)^(I23-Inputs!$B$10))</f>
        <v>0</v>
      </c>
      <c r="Y23" s="319">
        <f>Q23/((1+Inputs!$B$5)^(I23-Inputs!$B$10))</f>
        <v>0</v>
      </c>
      <c r="Z23" s="118">
        <f>R23/((1+Inputs!$B$5)^(I23-Inputs!$B$10))</f>
        <v>0</v>
      </c>
      <c r="AA23" s="118">
        <f>S23/((1+Inputs!$B$5)^(I23-Inputs!$B$10))</f>
        <v>0</v>
      </c>
      <c r="AB23" s="320">
        <f>T23/((1+Inputs!$B$5)^(I23-Inputs!$B$10))</f>
        <v>0</v>
      </c>
    </row>
    <row r="24" spans="1:28" ht="12">
      <c r="A24" s="315">
        <f t="shared" si="1"/>
        <v>2038</v>
      </c>
      <c r="B24" s="316"/>
      <c r="C24" s="316"/>
      <c r="D24" s="316"/>
      <c r="E24" s="316"/>
      <c r="F24" s="316"/>
      <c r="G24" s="317"/>
      <c r="H24" s="310"/>
      <c r="I24" s="318">
        <f t="shared" si="5"/>
        <v>2038</v>
      </c>
      <c r="J24" s="318">
        <f t="shared" si="5"/>
        <v>18</v>
      </c>
      <c r="K24" s="319">
        <v>0</v>
      </c>
      <c r="L24" s="118">
        <v>0</v>
      </c>
      <c r="M24" s="320">
        <v>0</v>
      </c>
      <c r="N24" s="321">
        <v>0</v>
      </c>
      <c r="O24" s="118">
        <v>0</v>
      </c>
      <c r="P24" s="322">
        <v>0</v>
      </c>
      <c r="Q24" s="319">
        <f t="shared" si="6"/>
        <v>0</v>
      </c>
      <c r="R24" s="118">
        <f t="shared" si="6"/>
        <v>0</v>
      </c>
      <c r="S24" s="118">
        <f t="shared" si="6"/>
        <v>0</v>
      </c>
      <c r="T24" s="320">
        <f t="shared" si="3"/>
        <v>0</v>
      </c>
      <c r="U24" s="321">
        <f>Q24/((1+Inputs!$B$6)^(I24-Inputs!$B$10))</f>
        <v>0</v>
      </c>
      <c r="V24" s="118">
        <f>R24/((1+Inputs!$B$6)^(I24-Inputs!$B$10))</f>
        <v>0</v>
      </c>
      <c r="W24" s="118">
        <f>S24/((1+Inputs!$B$6)^(I24-Inputs!$B$10))</f>
        <v>0</v>
      </c>
      <c r="X24" s="320">
        <f>T24/((1+Inputs!$B$6)^(I24-Inputs!$B$10))</f>
        <v>0</v>
      </c>
      <c r="Y24" s="319">
        <f>Q24/((1+Inputs!$B$5)^(I24-Inputs!$B$10))</f>
        <v>0</v>
      </c>
      <c r="Z24" s="118">
        <f>R24/((1+Inputs!$B$5)^(I24-Inputs!$B$10))</f>
        <v>0</v>
      </c>
      <c r="AA24" s="118">
        <f>S24/((1+Inputs!$B$5)^(I24-Inputs!$B$10))</f>
        <v>0</v>
      </c>
      <c r="AB24" s="320">
        <f>T24/((1+Inputs!$B$5)^(I24-Inputs!$B$10))</f>
        <v>0</v>
      </c>
    </row>
    <row r="25" spans="1:28" ht="12">
      <c r="A25" s="315">
        <f t="shared" si="1"/>
        <v>2039</v>
      </c>
      <c r="B25" s="316"/>
      <c r="C25" s="316"/>
      <c r="D25" s="316"/>
      <c r="E25" s="316"/>
      <c r="F25" s="316"/>
      <c r="G25" s="317"/>
      <c r="H25" s="310"/>
      <c r="I25" s="318">
        <f t="shared" si="5"/>
        <v>2039</v>
      </c>
      <c r="J25" s="318">
        <f t="shared" si="5"/>
        <v>19</v>
      </c>
      <c r="K25" s="319">
        <v>0</v>
      </c>
      <c r="L25" s="118">
        <v>0</v>
      </c>
      <c r="M25" s="320">
        <v>0</v>
      </c>
      <c r="N25" s="321">
        <v>0</v>
      </c>
      <c r="O25" s="118">
        <v>0</v>
      </c>
      <c r="P25" s="322">
        <v>0</v>
      </c>
      <c r="Q25" s="319">
        <f t="shared" si="6"/>
        <v>0</v>
      </c>
      <c r="R25" s="118">
        <f t="shared" si="6"/>
        <v>0</v>
      </c>
      <c r="S25" s="118">
        <f t="shared" si="6"/>
        <v>0</v>
      </c>
      <c r="T25" s="320">
        <f t="shared" si="3"/>
        <v>0</v>
      </c>
      <c r="U25" s="321">
        <f>Q25/((1+Inputs!$B$6)^(I25-Inputs!$B$10))</f>
        <v>0</v>
      </c>
      <c r="V25" s="118">
        <f>R25/((1+Inputs!$B$6)^(I25-Inputs!$B$10))</f>
        <v>0</v>
      </c>
      <c r="W25" s="118">
        <f>S25/((1+Inputs!$B$6)^(I25-Inputs!$B$10))</f>
        <v>0</v>
      </c>
      <c r="X25" s="320">
        <f>T25/((1+Inputs!$B$6)^(I25-Inputs!$B$10))</f>
        <v>0</v>
      </c>
      <c r="Y25" s="319">
        <f>Q25/((1+Inputs!$B$5)^(I25-Inputs!$B$10))</f>
        <v>0</v>
      </c>
      <c r="Z25" s="118">
        <f>R25/((1+Inputs!$B$5)^(I25-Inputs!$B$10))</f>
        <v>0</v>
      </c>
      <c r="AA25" s="118">
        <f>S25/((1+Inputs!$B$5)^(I25-Inputs!$B$10))</f>
        <v>0</v>
      </c>
      <c r="AB25" s="320">
        <f>T25/((1+Inputs!$B$5)^(I25-Inputs!$B$10))</f>
        <v>0</v>
      </c>
    </row>
    <row r="26" spans="1:28" ht="12">
      <c r="A26" s="315">
        <f t="shared" si="1"/>
        <v>2040</v>
      </c>
      <c r="B26" s="316"/>
      <c r="C26" s="316"/>
      <c r="D26" s="316"/>
      <c r="E26" s="316"/>
      <c r="F26" s="316"/>
      <c r="G26" s="317"/>
      <c r="H26" s="310"/>
      <c r="I26" s="318">
        <f t="shared" si="5"/>
        <v>2040</v>
      </c>
      <c r="J26" s="318">
        <f t="shared" si="5"/>
        <v>20</v>
      </c>
      <c r="K26" s="319">
        <v>0</v>
      </c>
      <c r="L26" s="118">
        <v>0</v>
      </c>
      <c r="M26" s="320">
        <v>0</v>
      </c>
      <c r="N26" s="321">
        <v>0</v>
      </c>
      <c r="O26" s="118">
        <v>0</v>
      </c>
      <c r="P26" s="322">
        <v>0</v>
      </c>
      <c r="Q26" s="319">
        <f t="shared" si="6"/>
        <v>0</v>
      </c>
      <c r="R26" s="118">
        <f t="shared" si="6"/>
        <v>0</v>
      </c>
      <c r="S26" s="118">
        <f t="shared" si="6"/>
        <v>0</v>
      </c>
      <c r="T26" s="320">
        <f t="shared" si="3"/>
        <v>0</v>
      </c>
      <c r="U26" s="321">
        <f>Q26/((1+Inputs!$B$6)^(I26-Inputs!$B$10))</f>
        <v>0</v>
      </c>
      <c r="V26" s="118">
        <f>R26/((1+Inputs!$B$6)^(I26-Inputs!$B$10))</f>
        <v>0</v>
      </c>
      <c r="W26" s="118">
        <f>S26/((1+Inputs!$B$6)^(I26-Inputs!$B$10))</f>
        <v>0</v>
      </c>
      <c r="X26" s="320">
        <f>T26/((1+Inputs!$B$6)^(I26-Inputs!$B$10))</f>
        <v>0</v>
      </c>
      <c r="Y26" s="319">
        <f>Q26/((1+Inputs!$B$5)^(I26-Inputs!$B$10))</f>
        <v>0</v>
      </c>
      <c r="Z26" s="118">
        <f>R26/((1+Inputs!$B$5)^(I26-Inputs!$B$10))</f>
        <v>0</v>
      </c>
      <c r="AA26" s="118">
        <f>S26/((1+Inputs!$B$5)^(I26-Inputs!$B$10))</f>
        <v>0</v>
      </c>
      <c r="AB26" s="320">
        <f>T26/((1+Inputs!$B$5)^(I26-Inputs!$B$10))</f>
        <v>0</v>
      </c>
    </row>
    <row r="27" spans="1:28" ht="12">
      <c r="A27" s="315">
        <f t="shared" si="1"/>
        <v>2041</v>
      </c>
      <c r="B27" s="316"/>
      <c r="C27" s="316"/>
      <c r="D27" s="316"/>
      <c r="E27" s="316"/>
      <c r="F27" s="316"/>
      <c r="G27" s="317"/>
      <c r="H27" s="310"/>
      <c r="I27" s="318">
        <f t="shared" si="5"/>
        <v>2041</v>
      </c>
      <c r="J27" s="318">
        <f t="shared" si="5"/>
        <v>21</v>
      </c>
      <c r="K27" s="319">
        <v>0</v>
      </c>
      <c r="L27" s="118">
        <v>0</v>
      </c>
      <c r="M27" s="320">
        <v>0</v>
      </c>
      <c r="N27" s="321">
        <v>0</v>
      </c>
      <c r="O27" s="118">
        <v>0</v>
      </c>
      <c r="P27" s="322">
        <v>0</v>
      </c>
      <c r="Q27" s="319">
        <f t="shared" si="6"/>
        <v>0</v>
      </c>
      <c r="R27" s="118">
        <f t="shared" si="6"/>
        <v>0</v>
      </c>
      <c r="S27" s="118">
        <f t="shared" si="6"/>
        <v>0</v>
      </c>
      <c r="T27" s="320">
        <f t="shared" si="3"/>
        <v>0</v>
      </c>
      <c r="U27" s="321">
        <f>Q27/((1+Inputs!$B$6)^(I27-Inputs!$B$10))</f>
        <v>0</v>
      </c>
      <c r="V27" s="118">
        <f>R27/((1+Inputs!$B$6)^(I27-Inputs!$B$10))</f>
        <v>0</v>
      </c>
      <c r="W27" s="118">
        <f>S27/((1+Inputs!$B$6)^(I27-Inputs!$B$10))</f>
        <v>0</v>
      </c>
      <c r="X27" s="320">
        <f>T27/((1+Inputs!$B$6)^(I27-Inputs!$B$10))</f>
        <v>0</v>
      </c>
      <c r="Y27" s="319">
        <f>Q27/((1+Inputs!$B$5)^(I27-Inputs!$B$10))</f>
        <v>0</v>
      </c>
      <c r="Z27" s="118">
        <f>R27/((1+Inputs!$B$5)^(I27-Inputs!$B$10))</f>
        <v>0</v>
      </c>
      <c r="AA27" s="118">
        <f>S27/((1+Inputs!$B$5)^(I27-Inputs!$B$10))</f>
        <v>0</v>
      </c>
      <c r="AB27" s="320">
        <f>T27/((1+Inputs!$B$5)^(I27-Inputs!$B$10))</f>
        <v>0</v>
      </c>
    </row>
    <row r="28" spans="1:28" ht="12">
      <c r="A28" s="315">
        <f t="shared" si="1"/>
        <v>2042</v>
      </c>
      <c r="B28" s="316"/>
      <c r="C28" s="316"/>
      <c r="D28" s="316"/>
      <c r="E28" s="316"/>
      <c r="F28" s="316"/>
      <c r="G28" s="317"/>
      <c r="H28" s="310"/>
      <c r="I28" s="318">
        <f t="shared" si="5"/>
        <v>2042</v>
      </c>
      <c r="J28" s="318">
        <f t="shared" si="5"/>
        <v>22</v>
      </c>
      <c r="K28" s="319">
        <v>0</v>
      </c>
      <c r="L28" s="118">
        <v>0</v>
      </c>
      <c r="M28" s="320">
        <v>0</v>
      </c>
      <c r="N28" s="321">
        <v>0</v>
      </c>
      <c r="O28" s="118">
        <v>0</v>
      </c>
      <c r="P28" s="322">
        <v>0</v>
      </c>
      <c r="Q28" s="319">
        <f t="shared" si="6"/>
        <v>0</v>
      </c>
      <c r="R28" s="118">
        <f t="shared" si="6"/>
        <v>0</v>
      </c>
      <c r="S28" s="118">
        <f t="shared" si="6"/>
        <v>0</v>
      </c>
      <c r="T28" s="320">
        <f t="shared" si="3"/>
        <v>0</v>
      </c>
      <c r="U28" s="321">
        <f>Q28/((1+Inputs!$B$6)^(I28-Inputs!$B$10))</f>
        <v>0</v>
      </c>
      <c r="V28" s="118">
        <f>R28/((1+Inputs!$B$6)^(I28-Inputs!$B$10))</f>
        <v>0</v>
      </c>
      <c r="W28" s="118">
        <f>S28/((1+Inputs!$B$6)^(I28-Inputs!$B$10))</f>
        <v>0</v>
      </c>
      <c r="X28" s="320">
        <f>T28/((1+Inputs!$B$6)^(I28-Inputs!$B$10))</f>
        <v>0</v>
      </c>
      <c r="Y28" s="319">
        <f>Q28/((1+Inputs!$B$5)^(I28-Inputs!$B$10))</f>
        <v>0</v>
      </c>
      <c r="Z28" s="118">
        <f>R28/((1+Inputs!$B$5)^(I28-Inputs!$B$10))</f>
        <v>0</v>
      </c>
      <c r="AA28" s="118">
        <f>S28/((1+Inputs!$B$5)^(I28-Inputs!$B$10))</f>
        <v>0</v>
      </c>
      <c r="AB28" s="320">
        <f>T28/((1+Inputs!$B$5)^(I28-Inputs!$B$10))</f>
        <v>0</v>
      </c>
    </row>
    <row r="29" spans="1:28" ht="12">
      <c r="A29" s="315">
        <f t="shared" si="1"/>
        <v>2043</v>
      </c>
      <c r="B29" s="316"/>
      <c r="C29" s="316"/>
      <c r="D29" s="316"/>
      <c r="E29" s="316"/>
      <c r="F29" s="316"/>
      <c r="G29" s="317"/>
      <c r="H29" s="310"/>
      <c r="I29" s="318">
        <f t="shared" si="5"/>
        <v>2043</v>
      </c>
      <c r="J29" s="318">
        <f t="shared" si="5"/>
        <v>23</v>
      </c>
      <c r="K29" s="319">
        <v>0</v>
      </c>
      <c r="L29" s="118">
        <v>0</v>
      </c>
      <c r="M29" s="320">
        <v>0</v>
      </c>
      <c r="N29" s="321">
        <v>0</v>
      </c>
      <c r="O29" s="118">
        <v>0</v>
      </c>
      <c r="P29" s="322">
        <v>0</v>
      </c>
      <c r="Q29" s="319">
        <f t="shared" si="6"/>
        <v>0</v>
      </c>
      <c r="R29" s="118">
        <f t="shared" si="6"/>
        <v>0</v>
      </c>
      <c r="S29" s="118">
        <f t="shared" si="6"/>
        <v>0</v>
      </c>
      <c r="T29" s="320">
        <f t="shared" si="3"/>
        <v>0</v>
      </c>
      <c r="U29" s="321">
        <f>Q29/((1+Inputs!$B$6)^(I29-Inputs!$B$10))</f>
        <v>0</v>
      </c>
      <c r="V29" s="118">
        <f>R29/((1+Inputs!$B$6)^(I29-Inputs!$B$10))</f>
        <v>0</v>
      </c>
      <c r="W29" s="118">
        <f>S29/((1+Inputs!$B$6)^(I29-Inputs!$B$10))</f>
        <v>0</v>
      </c>
      <c r="X29" s="320">
        <f>T29/((1+Inputs!$B$6)^(I29-Inputs!$B$10))</f>
        <v>0</v>
      </c>
      <c r="Y29" s="319">
        <f>Q29/((1+Inputs!$B$5)^(I29-Inputs!$B$10))</f>
        <v>0</v>
      </c>
      <c r="Z29" s="118">
        <f>R29/((1+Inputs!$B$5)^(I29-Inputs!$B$10))</f>
        <v>0</v>
      </c>
      <c r="AA29" s="118">
        <f>S29/((1+Inputs!$B$5)^(I29-Inputs!$B$10))</f>
        <v>0</v>
      </c>
      <c r="AB29" s="320">
        <f>T29/((1+Inputs!$B$5)^(I29-Inputs!$B$10))</f>
        <v>0</v>
      </c>
    </row>
    <row r="30" spans="1:28" ht="12">
      <c r="A30" s="315">
        <f t="shared" si="1"/>
        <v>2044</v>
      </c>
      <c r="B30" s="316"/>
      <c r="C30" s="316"/>
      <c r="D30" s="316"/>
      <c r="E30" s="316"/>
      <c r="F30" s="316"/>
      <c r="G30" s="317"/>
      <c r="H30" s="310"/>
      <c r="I30" s="318">
        <f t="shared" si="5"/>
        <v>2044</v>
      </c>
      <c r="J30" s="318">
        <f t="shared" si="5"/>
        <v>24</v>
      </c>
      <c r="K30" s="319">
        <v>0</v>
      </c>
      <c r="L30" s="118">
        <v>0</v>
      </c>
      <c r="M30" s="320">
        <v>0</v>
      </c>
      <c r="N30" s="321">
        <v>0</v>
      </c>
      <c r="O30" s="118">
        <v>0</v>
      </c>
      <c r="P30" s="322">
        <v>0</v>
      </c>
      <c r="Q30" s="319">
        <f t="shared" si="6"/>
        <v>0</v>
      </c>
      <c r="R30" s="118">
        <f t="shared" si="6"/>
        <v>0</v>
      </c>
      <c r="S30" s="118">
        <f t="shared" si="6"/>
        <v>0</v>
      </c>
      <c r="T30" s="320">
        <f t="shared" si="3"/>
        <v>0</v>
      </c>
      <c r="U30" s="321">
        <f>Q30/((1+Inputs!$B$6)^(I30-Inputs!$B$10))</f>
        <v>0</v>
      </c>
      <c r="V30" s="118">
        <f>R30/((1+Inputs!$B$6)^(I30-Inputs!$B$10))</f>
        <v>0</v>
      </c>
      <c r="W30" s="118">
        <f>S30/((1+Inputs!$B$6)^(I30-Inputs!$B$10))</f>
        <v>0</v>
      </c>
      <c r="X30" s="320">
        <f>T30/((1+Inputs!$B$6)^(I30-Inputs!$B$10))</f>
        <v>0</v>
      </c>
      <c r="Y30" s="319">
        <f>Q30/((1+Inputs!$B$5)^(I30-Inputs!$B$10))</f>
        <v>0</v>
      </c>
      <c r="Z30" s="118">
        <f>R30/((1+Inputs!$B$5)^(I30-Inputs!$B$10))</f>
        <v>0</v>
      </c>
      <c r="AA30" s="118">
        <f>S30/((1+Inputs!$B$5)^(I30-Inputs!$B$10))</f>
        <v>0</v>
      </c>
      <c r="AB30" s="320">
        <f>T30/((1+Inputs!$B$5)^(I30-Inputs!$B$10))</f>
        <v>0</v>
      </c>
    </row>
    <row r="31" spans="1:28" ht="12">
      <c r="A31" s="315">
        <f t="shared" si="1"/>
        <v>2045</v>
      </c>
      <c r="B31" s="316"/>
      <c r="C31" s="316"/>
      <c r="D31" s="316"/>
      <c r="E31" s="316"/>
      <c r="F31" s="316"/>
      <c r="G31" s="317"/>
      <c r="H31" s="310"/>
      <c r="I31" s="318">
        <f t="shared" si="5"/>
        <v>2045</v>
      </c>
      <c r="J31" s="318">
        <f t="shared" si="5"/>
        <v>25</v>
      </c>
      <c r="K31" s="319">
        <v>0</v>
      </c>
      <c r="L31" s="118">
        <v>0</v>
      </c>
      <c r="M31" s="320">
        <v>0</v>
      </c>
      <c r="N31" s="321">
        <v>0</v>
      </c>
      <c r="O31" s="118">
        <v>0</v>
      </c>
      <c r="P31" s="322">
        <v>0</v>
      </c>
      <c r="Q31" s="319">
        <f t="shared" si="6"/>
        <v>0</v>
      </c>
      <c r="R31" s="118">
        <f t="shared" si="6"/>
        <v>0</v>
      </c>
      <c r="S31" s="118">
        <f t="shared" si="6"/>
        <v>0</v>
      </c>
      <c r="T31" s="320">
        <f t="shared" si="3"/>
        <v>0</v>
      </c>
      <c r="U31" s="321">
        <f>Q31/((1+Inputs!$B$6)^(I31-Inputs!$B$10))</f>
        <v>0</v>
      </c>
      <c r="V31" s="118">
        <f>R31/((1+Inputs!$B$6)^(I31-Inputs!$B$10))</f>
        <v>0</v>
      </c>
      <c r="W31" s="118">
        <f>S31/((1+Inputs!$B$6)^(I31-Inputs!$B$10))</f>
        <v>0</v>
      </c>
      <c r="X31" s="320">
        <f>T31/((1+Inputs!$B$6)^(I31-Inputs!$B$10))</f>
        <v>0</v>
      </c>
      <c r="Y31" s="319">
        <f>Q31/((1+Inputs!$B$5)^(I31-Inputs!$B$10))</f>
        <v>0</v>
      </c>
      <c r="Z31" s="118">
        <f>R31/((1+Inputs!$B$5)^(I31-Inputs!$B$10))</f>
        <v>0</v>
      </c>
      <c r="AA31" s="118">
        <f>S31/((1+Inputs!$B$5)^(I31-Inputs!$B$10))</f>
        <v>0</v>
      </c>
      <c r="AB31" s="320">
        <f>T31/((1+Inputs!$B$5)^(I31-Inputs!$B$10))</f>
        <v>0</v>
      </c>
    </row>
    <row r="32" spans="1:28" ht="12">
      <c r="A32" s="315">
        <f t="shared" si="1"/>
        <v>2046</v>
      </c>
      <c r="B32" s="316"/>
      <c r="C32" s="316"/>
      <c r="D32" s="316"/>
      <c r="E32" s="316"/>
      <c r="F32" s="316"/>
      <c r="G32" s="317"/>
      <c r="H32" s="310"/>
      <c r="I32" s="318">
        <f t="shared" si="5"/>
        <v>2046</v>
      </c>
      <c r="J32" s="318">
        <f t="shared" si="5"/>
        <v>26</v>
      </c>
      <c r="K32" s="319">
        <v>0</v>
      </c>
      <c r="L32" s="118">
        <v>0</v>
      </c>
      <c r="M32" s="320">
        <v>0</v>
      </c>
      <c r="N32" s="321">
        <v>0</v>
      </c>
      <c r="O32" s="118">
        <v>0</v>
      </c>
      <c r="P32" s="322">
        <v>0</v>
      </c>
      <c r="Q32" s="319">
        <f t="shared" si="6"/>
        <v>0</v>
      </c>
      <c r="R32" s="118">
        <f t="shared" si="6"/>
        <v>0</v>
      </c>
      <c r="S32" s="118">
        <f t="shared" si="6"/>
        <v>0</v>
      </c>
      <c r="T32" s="320">
        <f t="shared" si="3"/>
        <v>0</v>
      </c>
      <c r="U32" s="321">
        <f>Q32/((1+Inputs!$B$6)^(I32-Inputs!$B$10))</f>
        <v>0</v>
      </c>
      <c r="V32" s="118">
        <f>R32/((1+Inputs!$B$6)^(I32-Inputs!$B$10))</f>
        <v>0</v>
      </c>
      <c r="W32" s="118">
        <f>S32/((1+Inputs!$B$6)^(I32-Inputs!$B$10))</f>
        <v>0</v>
      </c>
      <c r="X32" s="320">
        <f>T32/((1+Inputs!$B$6)^(I32-Inputs!$B$10))</f>
        <v>0</v>
      </c>
      <c r="Y32" s="319">
        <f>Q32/((1+Inputs!$B$5)^(I32-Inputs!$B$10))</f>
        <v>0</v>
      </c>
      <c r="Z32" s="118">
        <f>R32/((1+Inputs!$B$5)^(I32-Inputs!$B$10))</f>
        <v>0</v>
      </c>
      <c r="AA32" s="118">
        <f>S32/((1+Inputs!$B$5)^(I32-Inputs!$B$10))</f>
        <v>0</v>
      </c>
      <c r="AB32" s="320">
        <f>T32/((1+Inputs!$B$5)^(I32-Inputs!$B$10))</f>
        <v>0</v>
      </c>
    </row>
    <row r="33" spans="1:28" ht="12">
      <c r="A33" s="315">
        <f t="shared" si="1"/>
        <v>2047</v>
      </c>
      <c r="B33" s="316"/>
      <c r="C33" s="316"/>
      <c r="D33" s="316"/>
      <c r="E33" s="316"/>
      <c r="F33" s="316"/>
      <c r="G33" s="317"/>
      <c r="H33" s="310"/>
      <c r="I33" s="318">
        <f t="shared" si="5"/>
        <v>2047</v>
      </c>
      <c r="J33" s="318">
        <f t="shared" si="5"/>
        <v>27</v>
      </c>
      <c r="K33" s="319">
        <v>0</v>
      </c>
      <c r="L33" s="118">
        <v>0</v>
      </c>
      <c r="M33" s="320">
        <v>0</v>
      </c>
      <c r="N33" s="321">
        <v>0</v>
      </c>
      <c r="O33" s="118">
        <v>0</v>
      </c>
      <c r="P33" s="322">
        <v>0</v>
      </c>
      <c r="Q33" s="319">
        <f t="shared" si="6"/>
        <v>0</v>
      </c>
      <c r="R33" s="118">
        <f t="shared" si="6"/>
        <v>0</v>
      </c>
      <c r="S33" s="118">
        <f t="shared" si="6"/>
        <v>0</v>
      </c>
      <c r="T33" s="320">
        <f t="shared" si="3"/>
        <v>0</v>
      </c>
      <c r="U33" s="321">
        <f>Q33/((1+Inputs!$B$6)^(I33-Inputs!$B$10))</f>
        <v>0</v>
      </c>
      <c r="V33" s="118">
        <f>R33/((1+Inputs!$B$6)^(I33-Inputs!$B$10))</f>
        <v>0</v>
      </c>
      <c r="W33" s="118">
        <f>S33/((1+Inputs!$B$6)^(I33-Inputs!$B$10))</f>
        <v>0</v>
      </c>
      <c r="X33" s="320">
        <f>T33/((1+Inputs!$B$6)^(I33-Inputs!$B$10))</f>
        <v>0</v>
      </c>
      <c r="Y33" s="319">
        <f>Q33/((1+Inputs!$B$5)^(I33-Inputs!$B$10))</f>
        <v>0</v>
      </c>
      <c r="Z33" s="118">
        <f>R33/((1+Inputs!$B$5)^(I33-Inputs!$B$10))</f>
        <v>0</v>
      </c>
      <c r="AA33" s="118">
        <f>S33/((1+Inputs!$B$5)^(I33-Inputs!$B$10))</f>
        <v>0</v>
      </c>
      <c r="AB33" s="320">
        <f>T33/((1+Inputs!$B$5)^(I33-Inputs!$B$10))</f>
        <v>0</v>
      </c>
    </row>
    <row r="34" spans="1:28" ht="12">
      <c r="A34" s="315">
        <f t="shared" si="1"/>
        <v>2048</v>
      </c>
      <c r="B34" s="316"/>
      <c r="C34" s="316"/>
      <c r="D34" s="316"/>
      <c r="E34" s="316"/>
      <c r="F34" s="316"/>
      <c r="G34" s="317"/>
      <c r="H34" s="310"/>
      <c r="I34" s="318">
        <f t="shared" si="5"/>
        <v>2048</v>
      </c>
      <c r="J34" s="318">
        <f t="shared" si="5"/>
        <v>28</v>
      </c>
      <c r="K34" s="319">
        <v>0</v>
      </c>
      <c r="L34" s="118">
        <v>0</v>
      </c>
      <c r="M34" s="320">
        <v>0</v>
      </c>
      <c r="N34" s="321">
        <v>0</v>
      </c>
      <c r="O34" s="118">
        <v>0</v>
      </c>
      <c r="P34" s="322">
        <v>0</v>
      </c>
      <c r="Q34" s="319">
        <f t="shared" si="6"/>
        <v>0</v>
      </c>
      <c r="R34" s="118">
        <f t="shared" si="6"/>
        <v>0</v>
      </c>
      <c r="S34" s="118">
        <f t="shared" si="6"/>
        <v>0</v>
      </c>
      <c r="T34" s="320">
        <f t="shared" si="3"/>
        <v>0</v>
      </c>
      <c r="U34" s="321">
        <f>Q34/((1+Inputs!$B$6)^(I34-Inputs!$B$10))</f>
        <v>0</v>
      </c>
      <c r="V34" s="118">
        <f>R34/((1+Inputs!$B$6)^(I34-Inputs!$B$10))</f>
        <v>0</v>
      </c>
      <c r="W34" s="118">
        <f>S34/((1+Inputs!$B$6)^(I34-Inputs!$B$10))</f>
        <v>0</v>
      </c>
      <c r="X34" s="320">
        <f>T34/((1+Inputs!$B$6)^(I34-Inputs!$B$10))</f>
        <v>0</v>
      </c>
      <c r="Y34" s="319">
        <f>Q34/((1+Inputs!$B$5)^(I34-Inputs!$B$10))</f>
        <v>0</v>
      </c>
      <c r="Z34" s="118">
        <f>R34/((1+Inputs!$B$5)^(I34-Inputs!$B$10))</f>
        <v>0</v>
      </c>
      <c r="AA34" s="118">
        <f>S34/((1+Inputs!$B$5)^(I34-Inputs!$B$10))</f>
        <v>0</v>
      </c>
      <c r="AB34" s="320">
        <f>T34/((1+Inputs!$B$5)^(I34-Inputs!$B$10))</f>
        <v>0</v>
      </c>
    </row>
    <row r="35" spans="1:28" ht="12">
      <c r="A35" s="315">
        <f t="shared" si="1"/>
        <v>2049</v>
      </c>
      <c r="B35" s="316"/>
      <c r="C35" s="316"/>
      <c r="D35" s="316"/>
      <c r="E35" s="316"/>
      <c r="F35" s="316"/>
      <c r="G35" s="317"/>
      <c r="H35" s="310"/>
      <c r="I35" s="318">
        <f t="shared" si="5"/>
        <v>2049</v>
      </c>
      <c r="J35" s="318">
        <f t="shared" si="5"/>
        <v>29</v>
      </c>
      <c r="K35" s="319">
        <v>0</v>
      </c>
      <c r="L35" s="118">
        <v>0</v>
      </c>
      <c r="M35" s="320">
        <v>0</v>
      </c>
      <c r="N35" s="321">
        <v>0</v>
      </c>
      <c r="O35" s="118">
        <v>0</v>
      </c>
      <c r="P35" s="322">
        <v>0</v>
      </c>
      <c r="Q35" s="319">
        <f t="shared" si="6"/>
        <v>0</v>
      </c>
      <c r="R35" s="118">
        <f t="shared" si="6"/>
        <v>0</v>
      </c>
      <c r="S35" s="118">
        <f t="shared" si="6"/>
        <v>0</v>
      </c>
      <c r="T35" s="320">
        <f t="shared" si="3"/>
        <v>0</v>
      </c>
      <c r="U35" s="321">
        <f>Q35/((1+Inputs!$B$6)^(I35-Inputs!$B$10))</f>
        <v>0</v>
      </c>
      <c r="V35" s="118">
        <f>R35/((1+Inputs!$B$6)^(I35-Inputs!$B$10))</f>
        <v>0</v>
      </c>
      <c r="W35" s="118">
        <f>S35/((1+Inputs!$B$6)^(I35-Inputs!$B$10))</f>
        <v>0</v>
      </c>
      <c r="X35" s="320">
        <f>T35/((1+Inputs!$B$6)^(I35-Inputs!$B$10))</f>
        <v>0</v>
      </c>
      <c r="Y35" s="319">
        <f>Q35/((1+Inputs!$B$5)^(I35-Inputs!$B$10))</f>
        <v>0</v>
      </c>
      <c r="Z35" s="118">
        <f>R35/((1+Inputs!$B$5)^(I35-Inputs!$B$10))</f>
        <v>0</v>
      </c>
      <c r="AA35" s="118">
        <f>S35/((1+Inputs!$B$5)^(I35-Inputs!$B$10))</f>
        <v>0</v>
      </c>
      <c r="AB35" s="320">
        <f>T35/((1+Inputs!$B$5)^(I35-Inputs!$B$10))</f>
        <v>0</v>
      </c>
    </row>
    <row r="36" spans="1:28" s="198" customFormat="1" ht="12.75" thickBot="1">
      <c r="A36" s="323">
        <f t="shared" si="1"/>
        <v>2050</v>
      </c>
      <c r="B36" s="324"/>
      <c r="C36" s="324"/>
      <c r="D36" s="324"/>
      <c r="E36" s="324"/>
      <c r="F36" s="324"/>
      <c r="G36" s="325"/>
      <c r="H36" s="310"/>
      <c r="I36" s="326">
        <f t="shared" si="5"/>
        <v>2050</v>
      </c>
      <c r="J36" s="318">
        <f t="shared" si="5"/>
        <v>30</v>
      </c>
      <c r="K36" s="319">
        <v>0</v>
      </c>
      <c r="L36" s="118">
        <v>0</v>
      </c>
      <c r="M36" s="320">
        <v>0</v>
      </c>
      <c r="N36" s="321">
        <v>0</v>
      </c>
      <c r="O36" s="118">
        <v>0</v>
      </c>
      <c r="P36" s="322">
        <v>0</v>
      </c>
      <c r="Q36" s="327">
        <f t="shared" si="6"/>
        <v>0</v>
      </c>
      <c r="R36" s="328">
        <f t="shared" si="6"/>
        <v>0</v>
      </c>
      <c r="S36" s="328">
        <f t="shared" si="6"/>
        <v>0</v>
      </c>
      <c r="T36" s="320">
        <f t="shared" si="3"/>
        <v>0</v>
      </c>
      <c r="U36" s="329">
        <f>Q36/((1+Inputs!$B$6)^(I36-Inputs!$B$10))</f>
        <v>0</v>
      </c>
      <c r="V36" s="328">
        <f>R36/((1+Inputs!$B$6)^(I36-Inputs!$B$10))</f>
        <v>0</v>
      </c>
      <c r="W36" s="328">
        <f>S36/((1+Inputs!$B$6)^(I36-Inputs!$B$10))</f>
        <v>0</v>
      </c>
      <c r="X36" s="330">
        <f>T36/((1+Inputs!$B$6)^(I36-Inputs!$B$10))</f>
        <v>0</v>
      </c>
      <c r="Y36" s="327">
        <f>Q36/((1+Inputs!$B$5)^(I36-Inputs!$B$10))</f>
        <v>0</v>
      </c>
      <c r="Z36" s="328">
        <f>R36/((1+Inputs!$B$5)^(I36-Inputs!$B$10))</f>
        <v>0</v>
      </c>
      <c r="AA36" s="328">
        <f>S36/((1+Inputs!$B$5)^(I36-Inputs!$B$10))</f>
        <v>0</v>
      </c>
      <c r="AB36" s="330">
        <f>T36/((1+Inputs!$B$5)^(I36-Inputs!$B$10))</f>
        <v>0</v>
      </c>
    </row>
    <row r="37" spans="1:28" ht="12.75" thickBot="1">
      <c r="A37" s="331"/>
      <c r="B37" s="332"/>
      <c r="C37" s="332"/>
      <c r="D37" s="332"/>
      <c r="E37" s="332"/>
      <c r="F37" s="332"/>
      <c r="G37" s="332"/>
      <c r="H37" s="333"/>
      <c r="I37" s="334" t="s">
        <v>238</v>
      </c>
      <c r="J37" s="334"/>
      <c r="K37" s="335">
        <f aca="true" t="shared" si="7" ref="K37:AA37">SUM(K4:K36)</f>
        <v>1073400</v>
      </c>
      <c r="L37" s="336">
        <f t="shared" si="7"/>
        <v>1167000</v>
      </c>
      <c r="M37" s="337">
        <f t="shared" si="7"/>
        <v>533855</v>
      </c>
      <c r="N37" s="338">
        <f t="shared" si="7"/>
        <v>11957000</v>
      </c>
      <c r="O37" s="336">
        <f t="shared" si="7"/>
        <v>9725000</v>
      </c>
      <c r="P37" s="339">
        <f t="shared" si="7"/>
        <v>5338550</v>
      </c>
      <c r="Q37" s="335">
        <f t="shared" si="7"/>
        <v>13030400</v>
      </c>
      <c r="R37" s="336">
        <f t="shared" si="7"/>
        <v>10892000</v>
      </c>
      <c r="S37" s="336">
        <f t="shared" si="7"/>
        <v>5872405</v>
      </c>
      <c r="T37" s="337">
        <f t="shared" si="7"/>
        <v>29794805</v>
      </c>
      <c r="U37" s="338">
        <f t="shared" si="7"/>
        <v>12515626.35498162</v>
      </c>
      <c r="V37" s="336">
        <f t="shared" si="7"/>
        <v>10464756.338957489</v>
      </c>
      <c r="W37" s="336">
        <f t="shared" si="7"/>
        <v>5544362.7014798755</v>
      </c>
      <c r="X37" s="337">
        <f t="shared" si="7"/>
        <v>28524745.395418987</v>
      </c>
      <c r="Y37" s="335">
        <f t="shared" si="7"/>
        <v>11885520.132762685</v>
      </c>
      <c r="Z37" s="336">
        <f t="shared" si="7"/>
        <v>9941601.886627654</v>
      </c>
      <c r="AA37" s="336">
        <f t="shared" si="7"/>
        <v>5148770.119661106</v>
      </c>
      <c r="AB37" s="337">
        <f>SUM(AB4:AB36)</f>
        <v>26975892.139051445</v>
      </c>
    </row>
    <row r="38" spans="3:7" ht="12">
      <c r="C38" s="133"/>
      <c r="D38" s="133"/>
      <c r="E38" s="133"/>
      <c r="F38" s="133"/>
      <c r="G38" s="133"/>
    </row>
    <row r="39" spans="1:7" ht="12" hidden="1">
      <c r="A39" s="133" t="s">
        <v>421</v>
      </c>
      <c r="C39" s="133"/>
      <c r="D39" s="133"/>
      <c r="E39" s="133"/>
      <c r="F39" s="133"/>
      <c r="G39" s="133"/>
    </row>
    <row r="40" spans="1:7" ht="12" hidden="1">
      <c r="A40" s="133" t="s">
        <v>422</v>
      </c>
      <c r="B40" s="133">
        <v>50</v>
      </c>
      <c r="C40" s="133">
        <v>50</v>
      </c>
      <c r="D40" s="133"/>
      <c r="E40" s="133"/>
      <c r="F40" s="133"/>
      <c r="G40" s="133"/>
    </row>
    <row r="41" spans="1:7" ht="12" hidden="1">
      <c r="A41" s="133" t="s">
        <v>423</v>
      </c>
      <c r="B41" s="133">
        <v>50</v>
      </c>
      <c r="C41" s="133">
        <v>50</v>
      </c>
      <c r="D41" s="133">
        <v>10</v>
      </c>
      <c r="E41" s="133"/>
      <c r="F41" s="133"/>
      <c r="G41" s="133"/>
    </row>
    <row r="42" spans="1:7" ht="12" hidden="1">
      <c r="A42" s="133" t="s">
        <v>424</v>
      </c>
      <c r="C42" s="133"/>
      <c r="D42" s="133">
        <v>50</v>
      </c>
      <c r="E42" s="133">
        <v>60</v>
      </c>
      <c r="F42" s="133">
        <v>60</v>
      </c>
      <c r="G42" s="133">
        <v>0</v>
      </c>
    </row>
    <row r="43" spans="1:7" ht="12" hidden="1">
      <c r="A43" s="133" t="s">
        <v>425</v>
      </c>
      <c r="B43" s="133">
        <f aca="true" t="shared" si="8" ref="B43:G43">SUM(B39:B42)</f>
        <v>100</v>
      </c>
      <c r="C43" s="133">
        <f t="shared" si="8"/>
        <v>100</v>
      </c>
      <c r="D43" s="133">
        <f t="shared" si="8"/>
        <v>60</v>
      </c>
      <c r="E43" s="133">
        <f t="shared" si="8"/>
        <v>60</v>
      </c>
      <c r="F43" s="133">
        <f t="shared" si="8"/>
        <v>60</v>
      </c>
      <c r="G43" s="133">
        <f t="shared" si="8"/>
        <v>0</v>
      </c>
    </row>
    <row r="44" spans="3:7" ht="12" hidden="1">
      <c r="C44" s="133"/>
      <c r="D44" s="133"/>
      <c r="E44" s="133"/>
      <c r="F44" s="133"/>
      <c r="G44" s="133"/>
    </row>
    <row r="45" spans="1:7" ht="12" hidden="1">
      <c r="A45" s="133" t="s">
        <v>426</v>
      </c>
      <c r="C45" s="133"/>
      <c r="D45" s="133">
        <v>40</v>
      </c>
      <c r="E45" s="133">
        <v>40</v>
      </c>
      <c r="F45" s="133">
        <v>40</v>
      </c>
      <c r="G45" s="133"/>
    </row>
    <row r="46" spans="1:7" ht="12" hidden="1">
      <c r="A46" s="133" t="s">
        <v>427</v>
      </c>
      <c r="C46" s="133"/>
      <c r="D46" s="133"/>
      <c r="E46" s="133"/>
      <c r="F46" s="133"/>
      <c r="G46" s="133">
        <v>60</v>
      </c>
    </row>
    <row r="47" spans="1:7" ht="12" hidden="1">
      <c r="A47" s="133" t="s">
        <v>428</v>
      </c>
      <c r="C47" s="133"/>
      <c r="D47" s="133"/>
      <c r="E47" s="133"/>
      <c r="F47" s="133"/>
      <c r="G47" s="133">
        <v>40</v>
      </c>
    </row>
    <row r="48" spans="1:7" ht="12" hidden="1">
      <c r="A48" s="133" t="s">
        <v>429</v>
      </c>
      <c r="C48" s="133"/>
      <c r="D48" s="133"/>
      <c r="E48" s="133"/>
      <c r="F48" s="133"/>
      <c r="G48" s="133"/>
    </row>
    <row r="49" spans="1:7" ht="12" hidden="1">
      <c r="A49" s="133" t="s">
        <v>430</v>
      </c>
      <c r="B49" s="133">
        <f aca="true" t="shared" si="9" ref="B49:G49">SUM(B45:B48)</f>
        <v>0</v>
      </c>
      <c r="C49" s="133">
        <f t="shared" si="9"/>
        <v>0</v>
      </c>
      <c r="D49" s="133">
        <f t="shared" si="9"/>
        <v>40</v>
      </c>
      <c r="E49" s="133">
        <f t="shared" si="9"/>
        <v>40</v>
      </c>
      <c r="F49" s="133">
        <f t="shared" si="9"/>
        <v>40</v>
      </c>
      <c r="G49" s="133">
        <f t="shared" si="9"/>
        <v>100</v>
      </c>
    </row>
    <row r="50" spans="3:28" ht="12.75" thickBot="1">
      <c r="C50" s="133"/>
      <c r="D50" s="133"/>
      <c r="E50" s="133"/>
      <c r="F50" s="133"/>
      <c r="G50" s="133"/>
      <c r="I50" s="700" t="s">
        <v>230</v>
      </c>
      <c r="J50" s="701"/>
      <c r="K50" s="701"/>
      <c r="L50" s="701"/>
      <c r="M50" s="701"/>
      <c r="N50" s="701"/>
      <c r="O50" s="701"/>
      <c r="P50" s="701"/>
      <c r="Q50" s="701"/>
      <c r="R50" s="701"/>
      <c r="S50" s="701"/>
      <c r="T50" s="701"/>
      <c r="U50" s="701"/>
      <c r="V50" s="701"/>
      <c r="W50" s="701"/>
      <c r="X50" s="701"/>
      <c r="Y50" s="701"/>
      <c r="Z50" s="701"/>
      <c r="AA50" s="701"/>
      <c r="AB50" s="701"/>
    </row>
    <row r="51" spans="3:28" ht="12">
      <c r="C51" s="133"/>
      <c r="D51" s="133"/>
      <c r="E51" s="133"/>
      <c r="F51" s="133"/>
      <c r="G51" s="133"/>
      <c r="I51" s="641" t="s">
        <v>231</v>
      </c>
      <c r="J51" s="484"/>
      <c r="K51" s="697" t="s">
        <v>123</v>
      </c>
      <c r="L51" s="698"/>
      <c r="M51" s="699"/>
      <c r="N51" s="703" t="s">
        <v>124</v>
      </c>
      <c r="O51" s="698"/>
      <c r="P51" s="704"/>
      <c r="Q51" s="697" t="s">
        <v>232</v>
      </c>
      <c r="R51" s="698"/>
      <c r="S51" s="698"/>
      <c r="T51" s="699"/>
      <c r="U51" s="703" t="s">
        <v>233</v>
      </c>
      <c r="V51" s="698"/>
      <c r="W51" s="698"/>
      <c r="X51" s="699"/>
      <c r="Y51" s="697" t="s">
        <v>234</v>
      </c>
      <c r="Z51" s="698"/>
      <c r="AA51" s="698"/>
      <c r="AB51" s="699"/>
    </row>
    <row r="52" spans="3:28" ht="24">
      <c r="C52" s="133"/>
      <c r="D52" s="133"/>
      <c r="E52" s="133"/>
      <c r="F52" s="133"/>
      <c r="G52" s="133"/>
      <c r="I52" s="702"/>
      <c r="J52" s="488"/>
      <c r="K52" s="487" t="s">
        <v>235</v>
      </c>
      <c r="L52" s="259" t="s">
        <v>236</v>
      </c>
      <c r="M52" s="261" t="s">
        <v>237</v>
      </c>
      <c r="N52" s="313" t="s">
        <v>235</v>
      </c>
      <c r="O52" s="259" t="s">
        <v>236</v>
      </c>
      <c r="P52" s="260" t="s">
        <v>237</v>
      </c>
      <c r="Q52" s="487" t="s">
        <v>235</v>
      </c>
      <c r="R52" s="259" t="s">
        <v>236</v>
      </c>
      <c r="S52" s="259" t="s">
        <v>237</v>
      </c>
      <c r="T52" s="261" t="s">
        <v>7</v>
      </c>
      <c r="U52" s="313" t="s">
        <v>235</v>
      </c>
      <c r="V52" s="259" t="s">
        <v>236</v>
      </c>
      <c r="W52" s="259" t="s">
        <v>237</v>
      </c>
      <c r="X52" s="261" t="s">
        <v>0</v>
      </c>
      <c r="Y52" s="487" t="s">
        <v>235</v>
      </c>
      <c r="Z52" s="259" t="s">
        <v>236</v>
      </c>
      <c r="AA52" s="259" t="s">
        <v>237</v>
      </c>
      <c r="AB52" s="261" t="s">
        <v>0</v>
      </c>
    </row>
    <row r="53" spans="9:28" ht="12">
      <c r="I53" s="318">
        <v>2018</v>
      </c>
      <c r="J53" s="318">
        <v>-2</v>
      </c>
      <c r="K53" s="319">
        <f>ROUND(K4,-3)</f>
        <v>0</v>
      </c>
      <c r="L53" s="118">
        <f aca="true" t="shared" si="10" ref="L53:AB53">ROUND(L4,-3)</f>
        <v>0</v>
      </c>
      <c r="M53" s="320">
        <f t="shared" si="10"/>
        <v>0</v>
      </c>
      <c r="N53" s="321">
        <f t="shared" si="10"/>
        <v>0</v>
      </c>
      <c r="O53" s="118">
        <f t="shared" si="10"/>
        <v>0</v>
      </c>
      <c r="P53" s="322">
        <f t="shared" si="10"/>
        <v>0</v>
      </c>
      <c r="Q53" s="319">
        <f t="shared" si="10"/>
        <v>0</v>
      </c>
      <c r="R53" s="118">
        <f t="shared" si="10"/>
        <v>0</v>
      </c>
      <c r="S53" s="118">
        <f t="shared" si="10"/>
        <v>0</v>
      </c>
      <c r="T53" s="320">
        <f t="shared" si="10"/>
        <v>0</v>
      </c>
      <c r="U53" s="321">
        <f t="shared" si="10"/>
        <v>0</v>
      </c>
      <c r="V53" s="118">
        <f t="shared" si="10"/>
        <v>0</v>
      </c>
      <c r="W53" s="118">
        <f t="shared" si="10"/>
        <v>0</v>
      </c>
      <c r="X53" s="320">
        <f t="shared" si="10"/>
        <v>0</v>
      </c>
      <c r="Y53" s="319">
        <f t="shared" si="10"/>
        <v>0</v>
      </c>
      <c r="Z53" s="118">
        <f t="shared" si="10"/>
        <v>0</v>
      </c>
      <c r="AA53" s="118">
        <f t="shared" si="10"/>
        <v>0</v>
      </c>
      <c r="AB53" s="320">
        <f t="shared" si="10"/>
        <v>0</v>
      </c>
    </row>
    <row r="54" spans="9:28" ht="12">
      <c r="I54" s="318">
        <f aca="true" t="shared" si="11" ref="I54:I85">I53+1</f>
        <v>2019</v>
      </c>
      <c r="J54" s="318">
        <v>-1</v>
      </c>
      <c r="K54" s="319">
        <f aca="true" t="shared" si="12" ref="K54:AB54">ROUND(K5,-3)</f>
        <v>1073000</v>
      </c>
      <c r="L54" s="118">
        <f t="shared" si="12"/>
        <v>1167000</v>
      </c>
      <c r="M54" s="320">
        <f t="shared" si="12"/>
        <v>320000</v>
      </c>
      <c r="N54" s="321">
        <f t="shared" si="12"/>
        <v>7174000</v>
      </c>
      <c r="O54" s="118">
        <f t="shared" si="12"/>
        <v>5835000</v>
      </c>
      <c r="P54" s="322">
        <f t="shared" si="12"/>
        <v>0</v>
      </c>
      <c r="Q54" s="319">
        <f t="shared" si="12"/>
        <v>8248000</v>
      </c>
      <c r="R54" s="118">
        <f t="shared" si="12"/>
        <v>7002000</v>
      </c>
      <c r="S54" s="118">
        <f t="shared" si="12"/>
        <v>320000</v>
      </c>
      <c r="T54" s="320">
        <f t="shared" si="12"/>
        <v>15570000</v>
      </c>
      <c r="U54" s="321">
        <f t="shared" si="12"/>
        <v>8007000</v>
      </c>
      <c r="V54" s="118">
        <f t="shared" si="12"/>
        <v>6798000</v>
      </c>
      <c r="W54" s="118">
        <f t="shared" si="12"/>
        <v>311000</v>
      </c>
      <c r="X54" s="320">
        <f t="shared" si="12"/>
        <v>15116000</v>
      </c>
      <c r="Y54" s="319">
        <f t="shared" si="12"/>
        <v>7708000</v>
      </c>
      <c r="Z54" s="118">
        <f t="shared" si="12"/>
        <v>6544000</v>
      </c>
      <c r="AA54" s="118">
        <f t="shared" si="12"/>
        <v>299000</v>
      </c>
      <c r="AB54" s="320">
        <f t="shared" si="12"/>
        <v>14551000</v>
      </c>
    </row>
    <row r="55" spans="9:28" ht="12">
      <c r="I55" s="318">
        <f t="shared" si="11"/>
        <v>2020</v>
      </c>
      <c r="J55" s="318">
        <v>0</v>
      </c>
      <c r="K55" s="319">
        <f aca="true" t="shared" si="13" ref="K55:AB55">ROUND(K6,-3)</f>
        <v>0</v>
      </c>
      <c r="L55" s="118">
        <f t="shared" si="13"/>
        <v>0</v>
      </c>
      <c r="M55" s="320">
        <f t="shared" si="13"/>
        <v>214000</v>
      </c>
      <c r="N55" s="321">
        <f t="shared" si="13"/>
        <v>4783000</v>
      </c>
      <c r="O55" s="118">
        <f t="shared" si="13"/>
        <v>3890000</v>
      </c>
      <c r="P55" s="322">
        <f t="shared" si="13"/>
        <v>5339000</v>
      </c>
      <c r="Q55" s="319">
        <f t="shared" si="13"/>
        <v>4783000</v>
      </c>
      <c r="R55" s="118">
        <f t="shared" si="13"/>
        <v>3890000</v>
      </c>
      <c r="S55" s="118">
        <f t="shared" si="13"/>
        <v>5552000</v>
      </c>
      <c r="T55" s="320">
        <f t="shared" si="13"/>
        <v>14225000</v>
      </c>
      <c r="U55" s="321">
        <f t="shared" si="13"/>
        <v>4508000</v>
      </c>
      <c r="V55" s="118">
        <f t="shared" si="13"/>
        <v>3667000</v>
      </c>
      <c r="W55" s="118">
        <f t="shared" si="13"/>
        <v>5233000</v>
      </c>
      <c r="X55" s="320">
        <f t="shared" si="13"/>
        <v>13408000</v>
      </c>
      <c r="Y55" s="319">
        <f t="shared" si="13"/>
        <v>4177000</v>
      </c>
      <c r="Z55" s="118">
        <f t="shared" si="13"/>
        <v>3398000</v>
      </c>
      <c r="AA55" s="118">
        <f t="shared" si="13"/>
        <v>4849000</v>
      </c>
      <c r="AB55" s="320">
        <f t="shared" si="13"/>
        <v>12425000</v>
      </c>
    </row>
    <row r="56" spans="9:28" ht="12">
      <c r="I56" s="318">
        <f t="shared" si="11"/>
        <v>2021</v>
      </c>
      <c r="J56" s="318">
        <v>1</v>
      </c>
      <c r="K56" s="319">
        <f aca="true" t="shared" si="14" ref="K56:AB56">ROUND(K7,-3)</f>
        <v>0</v>
      </c>
      <c r="L56" s="118">
        <f t="shared" si="14"/>
        <v>0</v>
      </c>
      <c r="M56" s="320">
        <f t="shared" si="14"/>
        <v>0</v>
      </c>
      <c r="N56" s="321">
        <f t="shared" si="14"/>
        <v>0</v>
      </c>
      <c r="O56" s="118">
        <f t="shared" si="14"/>
        <v>0</v>
      </c>
      <c r="P56" s="322">
        <f t="shared" si="14"/>
        <v>0</v>
      </c>
      <c r="Q56" s="319">
        <f t="shared" si="14"/>
        <v>0</v>
      </c>
      <c r="R56" s="118">
        <f t="shared" si="14"/>
        <v>0</v>
      </c>
      <c r="S56" s="118">
        <f t="shared" si="14"/>
        <v>0</v>
      </c>
      <c r="T56" s="320">
        <f t="shared" si="14"/>
        <v>0</v>
      </c>
      <c r="U56" s="321">
        <f t="shared" si="14"/>
        <v>0</v>
      </c>
      <c r="V56" s="118">
        <f t="shared" si="14"/>
        <v>0</v>
      </c>
      <c r="W56" s="118">
        <f t="shared" si="14"/>
        <v>0</v>
      </c>
      <c r="X56" s="320">
        <f t="shared" si="14"/>
        <v>0</v>
      </c>
      <c r="Y56" s="319">
        <f t="shared" si="14"/>
        <v>0</v>
      </c>
      <c r="Z56" s="118">
        <f t="shared" si="14"/>
        <v>0</v>
      </c>
      <c r="AA56" s="118">
        <f t="shared" si="14"/>
        <v>0</v>
      </c>
      <c r="AB56" s="320">
        <f t="shared" si="14"/>
        <v>0</v>
      </c>
    </row>
    <row r="57" spans="9:28" ht="12">
      <c r="I57" s="318">
        <f t="shared" si="11"/>
        <v>2022</v>
      </c>
      <c r="J57" s="318">
        <f aca="true" t="shared" si="15" ref="J57:J85">J56+1</f>
        <v>2</v>
      </c>
      <c r="K57" s="319">
        <f aca="true" t="shared" si="16" ref="K57:AB57">ROUND(K8,-3)</f>
        <v>0</v>
      </c>
      <c r="L57" s="118">
        <f t="shared" si="16"/>
        <v>0</v>
      </c>
      <c r="M57" s="320">
        <f t="shared" si="16"/>
        <v>0</v>
      </c>
      <c r="N57" s="321">
        <f t="shared" si="16"/>
        <v>0</v>
      </c>
      <c r="O57" s="118">
        <f t="shared" si="16"/>
        <v>0</v>
      </c>
      <c r="P57" s="322">
        <f t="shared" si="16"/>
        <v>0</v>
      </c>
      <c r="Q57" s="319">
        <f t="shared" si="16"/>
        <v>0</v>
      </c>
      <c r="R57" s="118">
        <f t="shared" si="16"/>
        <v>0</v>
      </c>
      <c r="S57" s="118">
        <f t="shared" si="16"/>
        <v>0</v>
      </c>
      <c r="T57" s="320">
        <f t="shared" si="16"/>
        <v>0</v>
      </c>
      <c r="U57" s="321">
        <f t="shared" si="16"/>
        <v>0</v>
      </c>
      <c r="V57" s="118">
        <f t="shared" si="16"/>
        <v>0</v>
      </c>
      <c r="W57" s="118">
        <f t="shared" si="16"/>
        <v>0</v>
      </c>
      <c r="X57" s="320">
        <f t="shared" si="16"/>
        <v>0</v>
      </c>
      <c r="Y57" s="319">
        <f t="shared" si="16"/>
        <v>0</v>
      </c>
      <c r="Z57" s="118">
        <f t="shared" si="16"/>
        <v>0</v>
      </c>
      <c r="AA57" s="118">
        <f t="shared" si="16"/>
        <v>0</v>
      </c>
      <c r="AB57" s="320">
        <f t="shared" si="16"/>
        <v>0</v>
      </c>
    </row>
    <row r="58" spans="9:28" ht="12">
      <c r="I58" s="318">
        <f t="shared" si="11"/>
        <v>2023</v>
      </c>
      <c r="J58" s="318">
        <f t="shared" si="15"/>
        <v>3</v>
      </c>
      <c r="K58" s="319">
        <f aca="true" t="shared" si="17" ref="K58:AB58">ROUND(K9,-3)</f>
        <v>0</v>
      </c>
      <c r="L58" s="118">
        <f t="shared" si="17"/>
        <v>0</v>
      </c>
      <c r="M58" s="320">
        <f t="shared" si="17"/>
        <v>0</v>
      </c>
      <c r="N58" s="321">
        <f t="shared" si="17"/>
        <v>0</v>
      </c>
      <c r="O58" s="118">
        <f t="shared" si="17"/>
        <v>0</v>
      </c>
      <c r="P58" s="322">
        <f t="shared" si="17"/>
        <v>0</v>
      </c>
      <c r="Q58" s="319">
        <f t="shared" si="17"/>
        <v>0</v>
      </c>
      <c r="R58" s="118">
        <f t="shared" si="17"/>
        <v>0</v>
      </c>
      <c r="S58" s="118">
        <f t="shared" si="17"/>
        <v>0</v>
      </c>
      <c r="T58" s="320">
        <f t="shared" si="17"/>
        <v>0</v>
      </c>
      <c r="U58" s="321">
        <f t="shared" si="17"/>
        <v>0</v>
      </c>
      <c r="V58" s="118">
        <f t="shared" si="17"/>
        <v>0</v>
      </c>
      <c r="W58" s="118">
        <f t="shared" si="17"/>
        <v>0</v>
      </c>
      <c r="X58" s="320">
        <f t="shared" si="17"/>
        <v>0</v>
      </c>
      <c r="Y58" s="319">
        <f t="shared" si="17"/>
        <v>0</v>
      </c>
      <c r="Z58" s="118">
        <f t="shared" si="17"/>
        <v>0</v>
      </c>
      <c r="AA58" s="118">
        <f t="shared" si="17"/>
        <v>0</v>
      </c>
      <c r="AB58" s="320">
        <f t="shared" si="17"/>
        <v>0</v>
      </c>
    </row>
    <row r="59" spans="9:28" ht="12">
      <c r="I59" s="318">
        <f t="shared" si="11"/>
        <v>2024</v>
      </c>
      <c r="J59" s="318">
        <f t="shared" si="15"/>
        <v>4</v>
      </c>
      <c r="K59" s="319">
        <f aca="true" t="shared" si="18" ref="K59:AB59">ROUND(K10,-3)</f>
        <v>0</v>
      </c>
      <c r="L59" s="118">
        <f t="shared" si="18"/>
        <v>0</v>
      </c>
      <c r="M59" s="320">
        <f t="shared" si="18"/>
        <v>0</v>
      </c>
      <c r="N59" s="321">
        <f t="shared" si="18"/>
        <v>0</v>
      </c>
      <c r="O59" s="118">
        <f t="shared" si="18"/>
        <v>0</v>
      </c>
      <c r="P59" s="322">
        <f t="shared" si="18"/>
        <v>0</v>
      </c>
      <c r="Q59" s="319">
        <f t="shared" si="18"/>
        <v>0</v>
      </c>
      <c r="R59" s="118">
        <f t="shared" si="18"/>
        <v>0</v>
      </c>
      <c r="S59" s="118">
        <f t="shared" si="18"/>
        <v>0</v>
      </c>
      <c r="T59" s="320">
        <f t="shared" si="18"/>
        <v>0</v>
      </c>
      <c r="U59" s="321">
        <f t="shared" si="18"/>
        <v>0</v>
      </c>
      <c r="V59" s="118">
        <f t="shared" si="18"/>
        <v>0</v>
      </c>
      <c r="W59" s="118">
        <f t="shared" si="18"/>
        <v>0</v>
      </c>
      <c r="X59" s="320">
        <f t="shared" si="18"/>
        <v>0</v>
      </c>
      <c r="Y59" s="319">
        <f t="shared" si="18"/>
        <v>0</v>
      </c>
      <c r="Z59" s="118">
        <f t="shared" si="18"/>
        <v>0</v>
      </c>
      <c r="AA59" s="118">
        <f t="shared" si="18"/>
        <v>0</v>
      </c>
      <c r="AB59" s="320">
        <f t="shared" si="18"/>
        <v>0</v>
      </c>
    </row>
    <row r="60" spans="9:28" ht="12">
      <c r="I60" s="318">
        <f t="shared" si="11"/>
        <v>2025</v>
      </c>
      <c r="J60" s="318">
        <f t="shared" si="15"/>
        <v>5</v>
      </c>
      <c r="K60" s="319">
        <f aca="true" t="shared" si="19" ref="K60:AB60">ROUND(K11,-3)</f>
        <v>0</v>
      </c>
      <c r="L60" s="118">
        <f t="shared" si="19"/>
        <v>0</v>
      </c>
      <c r="M60" s="320">
        <f t="shared" si="19"/>
        <v>0</v>
      </c>
      <c r="N60" s="321">
        <f t="shared" si="19"/>
        <v>0</v>
      </c>
      <c r="O60" s="118">
        <f t="shared" si="19"/>
        <v>0</v>
      </c>
      <c r="P60" s="322">
        <f t="shared" si="19"/>
        <v>0</v>
      </c>
      <c r="Q60" s="319">
        <f t="shared" si="19"/>
        <v>0</v>
      </c>
      <c r="R60" s="118">
        <f t="shared" si="19"/>
        <v>0</v>
      </c>
      <c r="S60" s="118">
        <f t="shared" si="19"/>
        <v>0</v>
      </c>
      <c r="T60" s="320">
        <f t="shared" si="19"/>
        <v>0</v>
      </c>
      <c r="U60" s="321">
        <f t="shared" si="19"/>
        <v>0</v>
      </c>
      <c r="V60" s="118">
        <f t="shared" si="19"/>
        <v>0</v>
      </c>
      <c r="W60" s="118">
        <f t="shared" si="19"/>
        <v>0</v>
      </c>
      <c r="X60" s="320">
        <f t="shared" si="19"/>
        <v>0</v>
      </c>
      <c r="Y60" s="319">
        <f t="shared" si="19"/>
        <v>0</v>
      </c>
      <c r="Z60" s="118">
        <f t="shared" si="19"/>
        <v>0</v>
      </c>
      <c r="AA60" s="118">
        <f t="shared" si="19"/>
        <v>0</v>
      </c>
      <c r="AB60" s="320">
        <f t="shared" si="19"/>
        <v>0</v>
      </c>
    </row>
    <row r="61" spans="9:28" ht="12">
      <c r="I61" s="318">
        <f t="shared" si="11"/>
        <v>2026</v>
      </c>
      <c r="J61" s="318">
        <f t="shared" si="15"/>
        <v>6</v>
      </c>
      <c r="K61" s="319">
        <f aca="true" t="shared" si="20" ref="K61:AB61">ROUND(K12,-3)</f>
        <v>0</v>
      </c>
      <c r="L61" s="118">
        <f t="shared" si="20"/>
        <v>0</v>
      </c>
      <c r="M61" s="320">
        <f t="shared" si="20"/>
        <v>0</v>
      </c>
      <c r="N61" s="321">
        <f t="shared" si="20"/>
        <v>0</v>
      </c>
      <c r="O61" s="118">
        <f t="shared" si="20"/>
        <v>0</v>
      </c>
      <c r="P61" s="322">
        <f t="shared" si="20"/>
        <v>0</v>
      </c>
      <c r="Q61" s="319">
        <f t="shared" si="20"/>
        <v>0</v>
      </c>
      <c r="R61" s="118">
        <f t="shared" si="20"/>
        <v>0</v>
      </c>
      <c r="S61" s="118">
        <f t="shared" si="20"/>
        <v>0</v>
      </c>
      <c r="T61" s="320">
        <f t="shared" si="20"/>
        <v>0</v>
      </c>
      <c r="U61" s="321">
        <f t="shared" si="20"/>
        <v>0</v>
      </c>
      <c r="V61" s="118">
        <f t="shared" si="20"/>
        <v>0</v>
      </c>
      <c r="W61" s="118">
        <f t="shared" si="20"/>
        <v>0</v>
      </c>
      <c r="X61" s="320">
        <f t="shared" si="20"/>
        <v>0</v>
      </c>
      <c r="Y61" s="319">
        <f t="shared" si="20"/>
        <v>0</v>
      </c>
      <c r="Z61" s="118">
        <f t="shared" si="20"/>
        <v>0</v>
      </c>
      <c r="AA61" s="118">
        <f t="shared" si="20"/>
        <v>0</v>
      </c>
      <c r="AB61" s="320">
        <f t="shared" si="20"/>
        <v>0</v>
      </c>
    </row>
    <row r="62" spans="9:28" ht="12">
      <c r="I62" s="318">
        <f t="shared" si="11"/>
        <v>2027</v>
      </c>
      <c r="J62" s="318">
        <f t="shared" si="15"/>
        <v>7</v>
      </c>
      <c r="K62" s="319">
        <f aca="true" t="shared" si="21" ref="K62:AB62">ROUND(K13,-3)</f>
        <v>0</v>
      </c>
      <c r="L62" s="118">
        <f t="shared" si="21"/>
        <v>0</v>
      </c>
      <c r="M62" s="320">
        <f t="shared" si="21"/>
        <v>0</v>
      </c>
      <c r="N62" s="321">
        <f t="shared" si="21"/>
        <v>0</v>
      </c>
      <c r="O62" s="118">
        <f t="shared" si="21"/>
        <v>0</v>
      </c>
      <c r="P62" s="322">
        <f t="shared" si="21"/>
        <v>0</v>
      </c>
      <c r="Q62" s="319">
        <f t="shared" si="21"/>
        <v>0</v>
      </c>
      <c r="R62" s="118">
        <f t="shared" si="21"/>
        <v>0</v>
      </c>
      <c r="S62" s="118">
        <f t="shared" si="21"/>
        <v>0</v>
      </c>
      <c r="T62" s="320">
        <f t="shared" si="21"/>
        <v>0</v>
      </c>
      <c r="U62" s="321">
        <f t="shared" si="21"/>
        <v>0</v>
      </c>
      <c r="V62" s="118">
        <f t="shared" si="21"/>
        <v>0</v>
      </c>
      <c r="W62" s="118">
        <f t="shared" si="21"/>
        <v>0</v>
      </c>
      <c r="X62" s="320">
        <f t="shared" si="21"/>
        <v>0</v>
      </c>
      <c r="Y62" s="319">
        <f t="shared" si="21"/>
        <v>0</v>
      </c>
      <c r="Z62" s="118">
        <f t="shared" si="21"/>
        <v>0</v>
      </c>
      <c r="AA62" s="118">
        <f t="shared" si="21"/>
        <v>0</v>
      </c>
      <c r="AB62" s="320">
        <f t="shared" si="21"/>
        <v>0</v>
      </c>
    </row>
    <row r="63" spans="9:28" ht="12">
      <c r="I63" s="318">
        <f t="shared" si="11"/>
        <v>2028</v>
      </c>
      <c r="J63" s="318">
        <f t="shared" si="15"/>
        <v>8</v>
      </c>
      <c r="K63" s="319">
        <f aca="true" t="shared" si="22" ref="K63:AB63">ROUND(K14,-3)</f>
        <v>0</v>
      </c>
      <c r="L63" s="118">
        <f t="shared" si="22"/>
        <v>0</v>
      </c>
      <c r="M63" s="320">
        <f t="shared" si="22"/>
        <v>0</v>
      </c>
      <c r="N63" s="321">
        <f t="shared" si="22"/>
        <v>0</v>
      </c>
      <c r="O63" s="118">
        <f t="shared" si="22"/>
        <v>0</v>
      </c>
      <c r="P63" s="322">
        <f t="shared" si="22"/>
        <v>0</v>
      </c>
      <c r="Q63" s="319">
        <f t="shared" si="22"/>
        <v>0</v>
      </c>
      <c r="R63" s="118">
        <f t="shared" si="22"/>
        <v>0</v>
      </c>
      <c r="S63" s="118">
        <f t="shared" si="22"/>
        <v>0</v>
      </c>
      <c r="T63" s="320">
        <f t="shared" si="22"/>
        <v>0</v>
      </c>
      <c r="U63" s="321">
        <f t="shared" si="22"/>
        <v>0</v>
      </c>
      <c r="V63" s="118">
        <f t="shared" si="22"/>
        <v>0</v>
      </c>
      <c r="W63" s="118">
        <f t="shared" si="22"/>
        <v>0</v>
      </c>
      <c r="X63" s="320">
        <f t="shared" si="22"/>
        <v>0</v>
      </c>
      <c r="Y63" s="319">
        <f t="shared" si="22"/>
        <v>0</v>
      </c>
      <c r="Z63" s="118">
        <f t="shared" si="22"/>
        <v>0</v>
      </c>
      <c r="AA63" s="118">
        <f t="shared" si="22"/>
        <v>0</v>
      </c>
      <c r="AB63" s="320">
        <f t="shared" si="22"/>
        <v>0</v>
      </c>
    </row>
    <row r="64" spans="9:28" ht="12">
      <c r="I64" s="318">
        <f t="shared" si="11"/>
        <v>2029</v>
      </c>
      <c r="J64" s="318">
        <f t="shared" si="15"/>
        <v>9</v>
      </c>
      <c r="K64" s="319">
        <f aca="true" t="shared" si="23" ref="K64:AB64">ROUND(K15,-3)</f>
        <v>0</v>
      </c>
      <c r="L64" s="118">
        <f t="shared" si="23"/>
        <v>0</v>
      </c>
      <c r="M64" s="320">
        <f t="shared" si="23"/>
        <v>0</v>
      </c>
      <c r="N64" s="321">
        <f t="shared" si="23"/>
        <v>0</v>
      </c>
      <c r="O64" s="118">
        <f t="shared" si="23"/>
        <v>0</v>
      </c>
      <c r="P64" s="322">
        <f t="shared" si="23"/>
        <v>0</v>
      </c>
      <c r="Q64" s="319">
        <f t="shared" si="23"/>
        <v>0</v>
      </c>
      <c r="R64" s="118">
        <f t="shared" si="23"/>
        <v>0</v>
      </c>
      <c r="S64" s="118">
        <f t="shared" si="23"/>
        <v>0</v>
      </c>
      <c r="T64" s="320">
        <f t="shared" si="23"/>
        <v>0</v>
      </c>
      <c r="U64" s="321">
        <f t="shared" si="23"/>
        <v>0</v>
      </c>
      <c r="V64" s="118">
        <f t="shared" si="23"/>
        <v>0</v>
      </c>
      <c r="W64" s="118">
        <f t="shared" si="23"/>
        <v>0</v>
      </c>
      <c r="X64" s="320">
        <f t="shared" si="23"/>
        <v>0</v>
      </c>
      <c r="Y64" s="319">
        <f t="shared" si="23"/>
        <v>0</v>
      </c>
      <c r="Z64" s="118">
        <f t="shared" si="23"/>
        <v>0</v>
      </c>
      <c r="AA64" s="118">
        <f t="shared" si="23"/>
        <v>0</v>
      </c>
      <c r="AB64" s="320">
        <f t="shared" si="23"/>
        <v>0</v>
      </c>
    </row>
    <row r="65" spans="9:28" ht="12">
      <c r="I65" s="318">
        <f t="shared" si="11"/>
        <v>2030</v>
      </c>
      <c r="J65" s="318">
        <f t="shared" si="15"/>
        <v>10</v>
      </c>
      <c r="K65" s="319">
        <f aca="true" t="shared" si="24" ref="K65:AB65">ROUND(K16,-3)</f>
        <v>0</v>
      </c>
      <c r="L65" s="118">
        <f t="shared" si="24"/>
        <v>0</v>
      </c>
      <c r="M65" s="320">
        <f t="shared" si="24"/>
        <v>0</v>
      </c>
      <c r="N65" s="321">
        <f t="shared" si="24"/>
        <v>0</v>
      </c>
      <c r="O65" s="118">
        <f t="shared" si="24"/>
        <v>0</v>
      </c>
      <c r="P65" s="322">
        <f t="shared" si="24"/>
        <v>0</v>
      </c>
      <c r="Q65" s="319">
        <f t="shared" si="24"/>
        <v>0</v>
      </c>
      <c r="R65" s="118">
        <f t="shared" si="24"/>
        <v>0</v>
      </c>
      <c r="S65" s="118">
        <f t="shared" si="24"/>
        <v>0</v>
      </c>
      <c r="T65" s="320">
        <f t="shared" si="24"/>
        <v>0</v>
      </c>
      <c r="U65" s="321">
        <f t="shared" si="24"/>
        <v>0</v>
      </c>
      <c r="V65" s="118">
        <f t="shared" si="24"/>
        <v>0</v>
      </c>
      <c r="W65" s="118">
        <f t="shared" si="24"/>
        <v>0</v>
      </c>
      <c r="X65" s="320">
        <f t="shared" si="24"/>
        <v>0</v>
      </c>
      <c r="Y65" s="319">
        <f t="shared" si="24"/>
        <v>0</v>
      </c>
      <c r="Z65" s="118">
        <f t="shared" si="24"/>
        <v>0</v>
      </c>
      <c r="AA65" s="118">
        <f t="shared" si="24"/>
        <v>0</v>
      </c>
      <c r="AB65" s="320">
        <f t="shared" si="24"/>
        <v>0</v>
      </c>
    </row>
    <row r="66" spans="9:28" ht="12">
      <c r="I66" s="318">
        <f t="shared" si="11"/>
        <v>2031</v>
      </c>
      <c r="J66" s="318">
        <f t="shared" si="15"/>
        <v>11</v>
      </c>
      <c r="K66" s="319">
        <f aca="true" t="shared" si="25" ref="K66:AB66">ROUND(K17,-3)</f>
        <v>0</v>
      </c>
      <c r="L66" s="118">
        <f t="shared" si="25"/>
        <v>0</v>
      </c>
      <c r="M66" s="320">
        <f t="shared" si="25"/>
        <v>0</v>
      </c>
      <c r="N66" s="321">
        <f t="shared" si="25"/>
        <v>0</v>
      </c>
      <c r="O66" s="118">
        <f t="shared" si="25"/>
        <v>0</v>
      </c>
      <c r="P66" s="322">
        <f t="shared" si="25"/>
        <v>0</v>
      </c>
      <c r="Q66" s="319">
        <f t="shared" si="25"/>
        <v>0</v>
      </c>
      <c r="R66" s="118">
        <f t="shared" si="25"/>
        <v>0</v>
      </c>
      <c r="S66" s="118">
        <f t="shared" si="25"/>
        <v>0</v>
      </c>
      <c r="T66" s="320">
        <f t="shared" si="25"/>
        <v>0</v>
      </c>
      <c r="U66" s="321">
        <f t="shared" si="25"/>
        <v>0</v>
      </c>
      <c r="V66" s="118">
        <f t="shared" si="25"/>
        <v>0</v>
      </c>
      <c r="W66" s="118">
        <f t="shared" si="25"/>
        <v>0</v>
      </c>
      <c r="X66" s="320">
        <f t="shared" si="25"/>
        <v>0</v>
      </c>
      <c r="Y66" s="319">
        <f t="shared" si="25"/>
        <v>0</v>
      </c>
      <c r="Z66" s="118">
        <f t="shared" si="25"/>
        <v>0</v>
      </c>
      <c r="AA66" s="118">
        <f t="shared" si="25"/>
        <v>0</v>
      </c>
      <c r="AB66" s="320">
        <f t="shared" si="25"/>
        <v>0</v>
      </c>
    </row>
    <row r="67" spans="9:28" ht="12">
      <c r="I67" s="318">
        <f t="shared" si="11"/>
        <v>2032</v>
      </c>
      <c r="J67" s="318">
        <f t="shared" si="15"/>
        <v>12</v>
      </c>
      <c r="K67" s="319">
        <f aca="true" t="shared" si="26" ref="K67:AB67">ROUND(K18,-3)</f>
        <v>0</v>
      </c>
      <c r="L67" s="118">
        <f t="shared" si="26"/>
        <v>0</v>
      </c>
      <c r="M67" s="320">
        <f t="shared" si="26"/>
        <v>0</v>
      </c>
      <c r="N67" s="321">
        <f t="shared" si="26"/>
        <v>0</v>
      </c>
      <c r="O67" s="118">
        <f t="shared" si="26"/>
        <v>0</v>
      </c>
      <c r="P67" s="322">
        <f t="shared" si="26"/>
        <v>0</v>
      </c>
      <c r="Q67" s="319">
        <f t="shared" si="26"/>
        <v>0</v>
      </c>
      <c r="R67" s="118">
        <f t="shared" si="26"/>
        <v>0</v>
      </c>
      <c r="S67" s="118">
        <f t="shared" si="26"/>
        <v>0</v>
      </c>
      <c r="T67" s="320">
        <f t="shared" si="26"/>
        <v>0</v>
      </c>
      <c r="U67" s="321">
        <f t="shared" si="26"/>
        <v>0</v>
      </c>
      <c r="V67" s="118">
        <f t="shared" si="26"/>
        <v>0</v>
      </c>
      <c r="W67" s="118">
        <f t="shared" si="26"/>
        <v>0</v>
      </c>
      <c r="X67" s="320">
        <f t="shared" si="26"/>
        <v>0</v>
      </c>
      <c r="Y67" s="319">
        <f t="shared" si="26"/>
        <v>0</v>
      </c>
      <c r="Z67" s="118">
        <f t="shared" si="26"/>
        <v>0</v>
      </c>
      <c r="AA67" s="118">
        <f t="shared" si="26"/>
        <v>0</v>
      </c>
      <c r="AB67" s="320">
        <f t="shared" si="26"/>
        <v>0</v>
      </c>
    </row>
    <row r="68" spans="9:28" ht="12">
      <c r="I68" s="318">
        <f t="shared" si="11"/>
        <v>2033</v>
      </c>
      <c r="J68" s="318">
        <f t="shared" si="15"/>
        <v>13</v>
      </c>
      <c r="K68" s="319">
        <f aca="true" t="shared" si="27" ref="K68:AB68">ROUND(K19,-3)</f>
        <v>0</v>
      </c>
      <c r="L68" s="118">
        <f t="shared" si="27"/>
        <v>0</v>
      </c>
      <c r="M68" s="320">
        <f t="shared" si="27"/>
        <v>0</v>
      </c>
      <c r="N68" s="321">
        <f t="shared" si="27"/>
        <v>0</v>
      </c>
      <c r="O68" s="118">
        <f t="shared" si="27"/>
        <v>0</v>
      </c>
      <c r="P68" s="322">
        <f t="shared" si="27"/>
        <v>0</v>
      </c>
      <c r="Q68" s="319">
        <f t="shared" si="27"/>
        <v>0</v>
      </c>
      <c r="R68" s="118">
        <f t="shared" si="27"/>
        <v>0</v>
      </c>
      <c r="S68" s="118">
        <f t="shared" si="27"/>
        <v>0</v>
      </c>
      <c r="T68" s="320">
        <f t="shared" si="27"/>
        <v>0</v>
      </c>
      <c r="U68" s="321">
        <f t="shared" si="27"/>
        <v>0</v>
      </c>
      <c r="V68" s="118">
        <f t="shared" si="27"/>
        <v>0</v>
      </c>
      <c r="W68" s="118">
        <f t="shared" si="27"/>
        <v>0</v>
      </c>
      <c r="X68" s="320">
        <f t="shared" si="27"/>
        <v>0</v>
      </c>
      <c r="Y68" s="319">
        <f t="shared" si="27"/>
        <v>0</v>
      </c>
      <c r="Z68" s="118">
        <f t="shared" si="27"/>
        <v>0</v>
      </c>
      <c r="AA68" s="118">
        <f t="shared" si="27"/>
        <v>0</v>
      </c>
      <c r="AB68" s="320">
        <f t="shared" si="27"/>
        <v>0</v>
      </c>
    </row>
    <row r="69" spans="9:28" ht="12">
      <c r="I69" s="318">
        <f t="shared" si="11"/>
        <v>2034</v>
      </c>
      <c r="J69" s="318">
        <f t="shared" si="15"/>
        <v>14</v>
      </c>
      <c r="K69" s="319">
        <f aca="true" t="shared" si="28" ref="K69:AB69">ROUND(K20,-3)</f>
        <v>0</v>
      </c>
      <c r="L69" s="118">
        <f t="shared" si="28"/>
        <v>0</v>
      </c>
      <c r="M69" s="320">
        <f t="shared" si="28"/>
        <v>0</v>
      </c>
      <c r="N69" s="321">
        <f t="shared" si="28"/>
        <v>0</v>
      </c>
      <c r="O69" s="118">
        <f t="shared" si="28"/>
        <v>0</v>
      </c>
      <c r="P69" s="322">
        <f t="shared" si="28"/>
        <v>0</v>
      </c>
      <c r="Q69" s="319">
        <f t="shared" si="28"/>
        <v>0</v>
      </c>
      <c r="R69" s="118">
        <f t="shared" si="28"/>
        <v>0</v>
      </c>
      <c r="S69" s="118">
        <f t="shared" si="28"/>
        <v>0</v>
      </c>
      <c r="T69" s="320">
        <f t="shared" si="28"/>
        <v>0</v>
      </c>
      <c r="U69" s="321">
        <f t="shared" si="28"/>
        <v>0</v>
      </c>
      <c r="V69" s="118">
        <f t="shared" si="28"/>
        <v>0</v>
      </c>
      <c r="W69" s="118">
        <f t="shared" si="28"/>
        <v>0</v>
      </c>
      <c r="X69" s="320">
        <f t="shared" si="28"/>
        <v>0</v>
      </c>
      <c r="Y69" s="319">
        <f t="shared" si="28"/>
        <v>0</v>
      </c>
      <c r="Z69" s="118">
        <f t="shared" si="28"/>
        <v>0</v>
      </c>
      <c r="AA69" s="118">
        <f t="shared" si="28"/>
        <v>0</v>
      </c>
      <c r="AB69" s="320">
        <f t="shared" si="28"/>
        <v>0</v>
      </c>
    </row>
    <row r="70" spans="9:28" ht="12">
      <c r="I70" s="318">
        <f t="shared" si="11"/>
        <v>2035</v>
      </c>
      <c r="J70" s="318">
        <f t="shared" si="15"/>
        <v>15</v>
      </c>
      <c r="K70" s="319">
        <f aca="true" t="shared" si="29" ref="K70:AB70">ROUND(K21,-3)</f>
        <v>0</v>
      </c>
      <c r="L70" s="118">
        <f t="shared" si="29"/>
        <v>0</v>
      </c>
      <c r="M70" s="320">
        <f t="shared" si="29"/>
        <v>0</v>
      </c>
      <c r="N70" s="321">
        <f t="shared" si="29"/>
        <v>0</v>
      </c>
      <c r="O70" s="118">
        <f t="shared" si="29"/>
        <v>0</v>
      </c>
      <c r="P70" s="322">
        <f t="shared" si="29"/>
        <v>0</v>
      </c>
      <c r="Q70" s="319">
        <f t="shared" si="29"/>
        <v>0</v>
      </c>
      <c r="R70" s="118">
        <f t="shared" si="29"/>
        <v>0</v>
      </c>
      <c r="S70" s="118">
        <f t="shared" si="29"/>
        <v>0</v>
      </c>
      <c r="T70" s="320">
        <f t="shared" si="29"/>
        <v>0</v>
      </c>
      <c r="U70" s="321">
        <f t="shared" si="29"/>
        <v>0</v>
      </c>
      <c r="V70" s="118">
        <f t="shared" si="29"/>
        <v>0</v>
      </c>
      <c r="W70" s="118">
        <f t="shared" si="29"/>
        <v>0</v>
      </c>
      <c r="X70" s="320">
        <f t="shared" si="29"/>
        <v>0</v>
      </c>
      <c r="Y70" s="319">
        <f t="shared" si="29"/>
        <v>0</v>
      </c>
      <c r="Z70" s="118">
        <f t="shared" si="29"/>
        <v>0</v>
      </c>
      <c r="AA70" s="118">
        <f t="shared" si="29"/>
        <v>0</v>
      </c>
      <c r="AB70" s="320">
        <f t="shared" si="29"/>
        <v>0</v>
      </c>
    </row>
    <row r="71" spans="9:28" ht="12">
      <c r="I71" s="318">
        <f t="shared" si="11"/>
        <v>2036</v>
      </c>
      <c r="J71" s="318">
        <f t="shared" si="15"/>
        <v>16</v>
      </c>
      <c r="K71" s="319">
        <f aca="true" t="shared" si="30" ref="K71:AB71">ROUND(K22,-3)</f>
        <v>0</v>
      </c>
      <c r="L71" s="118">
        <f t="shared" si="30"/>
        <v>0</v>
      </c>
      <c r="M71" s="320">
        <f t="shared" si="30"/>
        <v>0</v>
      </c>
      <c r="N71" s="321">
        <f t="shared" si="30"/>
        <v>0</v>
      </c>
      <c r="O71" s="118">
        <f t="shared" si="30"/>
        <v>0</v>
      </c>
      <c r="P71" s="322">
        <f t="shared" si="30"/>
        <v>0</v>
      </c>
      <c r="Q71" s="319">
        <f t="shared" si="30"/>
        <v>0</v>
      </c>
      <c r="R71" s="118">
        <f t="shared" si="30"/>
        <v>0</v>
      </c>
      <c r="S71" s="118">
        <f t="shared" si="30"/>
        <v>0</v>
      </c>
      <c r="T71" s="320">
        <f t="shared" si="30"/>
        <v>0</v>
      </c>
      <c r="U71" s="321">
        <f t="shared" si="30"/>
        <v>0</v>
      </c>
      <c r="V71" s="118">
        <f t="shared" si="30"/>
        <v>0</v>
      </c>
      <c r="W71" s="118">
        <f t="shared" si="30"/>
        <v>0</v>
      </c>
      <c r="X71" s="320">
        <f t="shared" si="30"/>
        <v>0</v>
      </c>
      <c r="Y71" s="319">
        <f t="shared" si="30"/>
        <v>0</v>
      </c>
      <c r="Z71" s="118">
        <f t="shared" si="30"/>
        <v>0</v>
      </c>
      <c r="AA71" s="118">
        <f t="shared" si="30"/>
        <v>0</v>
      </c>
      <c r="AB71" s="320">
        <f t="shared" si="30"/>
        <v>0</v>
      </c>
    </row>
    <row r="72" spans="9:28" ht="12">
      <c r="I72" s="318">
        <f t="shared" si="11"/>
        <v>2037</v>
      </c>
      <c r="J72" s="318">
        <f t="shared" si="15"/>
        <v>17</v>
      </c>
      <c r="K72" s="319">
        <f aca="true" t="shared" si="31" ref="K72:AB72">ROUND(K23,-3)</f>
        <v>0</v>
      </c>
      <c r="L72" s="118">
        <f t="shared" si="31"/>
        <v>0</v>
      </c>
      <c r="M72" s="320">
        <f t="shared" si="31"/>
        <v>0</v>
      </c>
      <c r="N72" s="321">
        <f t="shared" si="31"/>
        <v>0</v>
      </c>
      <c r="O72" s="118">
        <f t="shared" si="31"/>
        <v>0</v>
      </c>
      <c r="P72" s="322">
        <f t="shared" si="31"/>
        <v>0</v>
      </c>
      <c r="Q72" s="319">
        <f t="shared" si="31"/>
        <v>0</v>
      </c>
      <c r="R72" s="118">
        <f t="shared" si="31"/>
        <v>0</v>
      </c>
      <c r="S72" s="118">
        <f t="shared" si="31"/>
        <v>0</v>
      </c>
      <c r="T72" s="320">
        <f t="shared" si="31"/>
        <v>0</v>
      </c>
      <c r="U72" s="321">
        <f t="shared" si="31"/>
        <v>0</v>
      </c>
      <c r="V72" s="118">
        <f t="shared" si="31"/>
        <v>0</v>
      </c>
      <c r="W72" s="118">
        <f t="shared" si="31"/>
        <v>0</v>
      </c>
      <c r="X72" s="320">
        <f t="shared" si="31"/>
        <v>0</v>
      </c>
      <c r="Y72" s="319">
        <f t="shared" si="31"/>
        <v>0</v>
      </c>
      <c r="Z72" s="118">
        <f t="shared" si="31"/>
        <v>0</v>
      </c>
      <c r="AA72" s="118">
        <f t="shared" si="31"/>
        <v>0</v>
      </c>
      <c r="AB72" s="320">
        <f t="shared" si="31"/>
        <v>0</v>
      </c>
    </row>
    <row r="73" spans="9:28" ht="12">
      <c r="I73" s="318">
        <f t="shared" si="11"/>
        <v>2038</v>
      </c>
      <c r="J73" s="318">
        <f t="shared" si="15"/>
        <v>18</v>
      </c>
      <c r="K73" s="319">
        <f aca="true" t="shared" si="32" ref="K73:AB73">ROUND(K24,-3)</f>
        <v>0</v>
      </c>
      <c r="L73" s="118">
        <f t="shared" si="32"/>
        <v>0</v>
      </c>
      <c r="M73" s="320">
        <f t="shared" si="32"/>
        <v>0</v>
      </c>
      <c r="N73" s="321">
        <f t="shared" si="32"/>
        <v>0</v>
      </c>
      <c r="O73" s="118">
        <f t="shared" si="32"/>
        <v>0</v>
      </c>
      <c r="P73" s="322">
        <f t="shared" si="32"/>
        <v>0</v>
      </c>
      <c r="Q73" s="319">
        <f t="shared" si="32"/>
        <v>0</v>
      </c>
      <c r="R73" s="118">
        <f t="shared" si="32"/>
        <v>0</v>
      </c>
      <c r="S73" s="118">
        <f t="shared" si="32"/>
        <v>0</v>
      </c>
      <c r="T73" s="320">
        <f t="shared" si="32"/>
        <v>0</v>
      </c>
      <c r="U73" s="321">
        <f t="shared" si="32"/>
        <v>0</v>
      </c>
      <c r="V73" s="118">
        <f t="shared" si="32"/>
        <v>0</v>
      </c>
      <c r="W73" s="118">
        <f t="shared" si="32"/>
        <v>0</v>
      </c>
      <c r="X73" s="320">
        <f t="shared" si="32"/>
        <v>0</v>
      </c>
      <c r="Y73" s="319">
        <f t="shared" si="32"/>
        <v>0</v>
      </c>
      <c r="Z73" s="118">
        <f t="shared" si="32"/>
        <v>0</v>
      </c>
      <c r="AA73" s="118">
        <f t="shared" si="32"/>
        <v>0</v>
      </c>
      <c r="AB73" s="320">
        <f t="shared" si="32"/>
        <v>0</v>
      </c>
    </row>
    <row r="74" spans="9:28" ht="12">
      <c r="I74" s="318">
        <f t="shared" si="11"/>
        <v>2039</v>
      </c>
      <c r="J74" s="318">
        <f t="shared" si="15"/>
        <v>19</v>
      </c>
      <c r="K74" s="319">
        <f aca="true" t="shared" si="33" ref="K74:AB74">ROUND(K25,-3)</f>
        <v>0</v>
      </c>
      <c r="L74" s="118">
        <f t="shared" si="33"/>
        <v>0</v>
      </c>
      <c r="M74" s="320">
        <f t="shared" si="33"/>
        <v>0</v>
      </c>
      <c r="N74" s="321">
        <f t="shared" si="33"/>
        <v>0</v>
      </c>
      <c r="O74" s="118">
        <f t="shared" si="33"/>
        <v>0</v>
      </c>
      <c r="P74" s="322">
        <f t="shared" si="33"/>
        <v>0</v>
      </c>
      <c r="Q74" s="319">
        <f t="shared" si="33"/>
        <v>0</v>
      </c>
      <c r="R74" s="118">
        <f t="shared" si="33"/>
        <v>0</v>
      </c>
      <c r="S74" s="118">
        <f t="shared" si="33"/>
        <v>0</v>
      </c>
      <c r="T74" s="320">
        <f t="shared" si="33"/>
        <v>0</v>
      </c>
      <c r="U74" s="321">
        <f t="shared" si="33"/>
        <v>0</v>
      </c>
      <c r="V74" s="118">
        <f t="shared" si="33"/>
        <v>0</v>
      </c>
      <c r="W74" s="118">
        <f t="shared" si="33"/>
        <v>0</v>
      </c>
      <c r="X74" s="320">
        <f t="shared" si="33"/>
        <v>0</v>
      </c>
      <c r="Y74" s="319">
        <f t="shared" si="33"/>
        <v>0</v>
      </c>
      <c r="Z74" s="118">
        <f t="shared" si="33"/>
        <v>0</v>
      </c>
      <c r="AA74" s="118">
        <f t="shared" si="33"/>
        <v>0</v>
      </c>
      <c r="AB74" s="320">
        <f t="shared" si="33"/>
        <v>0</v>
      </c>
    </row>
    <row r="75" spans="9:28" ht="12">
      <c r="I75" s="318">
        <f t="shared" si="11"/>
        <v>2040</v>
      </c>
      <c r="J75" s="318">
        <f t="shared" si="15"/>
        <v>20</v>
      </c>
      <c r="K75" s="319">
        <f aca="true" t="shared" si="34" ref="K75:AB75">ROUND(K26,-3)</f>
        <v>0</v>
      </c>
      <c r="L75" s="118">
        <f t="shared" si="34"/>
        <v>0</v>
      </c>
      <c r="M75" s="320">
        <f t="shared" si="34"/>
        <v>0</v>
      </c>
      <c r="N75" s="321">
        <f t="shared" si="34"/>
        <v>0</v>
      </c>
      <c r="O75" s="118">
        <f t="shared" si="34"/>
        <v>0</v>
      </c>
      <c r="P75" s="322">
        <f t="shared" si="34"/>
        <v>0</v>
      </c>
      <c r="Q75" s="319">
        <f t="shared" si="34"/>
        <v>0</v>
      </c>
      <c r="R75" s="118">
        <f t="shared" si="34"/>
        <v>0</v>
      </c>
      <c r="S75" s="118">
        <f t="shared" si="34"/>
        <v>0</v>
      </c>
      <c r="T75" s="320">
        <f t="shared" si="34"/>
        <v>0</v>
      </c>
      <c r="U75" s="321">
        <f t="shared" si="34"/>
        <v>0</v>
      </c>
      <c r="V75" s="118">
        <f t="shared" si="34"/>
        <v>0</v>
      </c>
      <c r="W75" s="118">
        <f t="shared" si="34"/>
        <v>0</v>
      </c>
      <c r="X75" s="320">
        <f t="shared" si="34"/>
        <v>0</v>
      </c>
      <c r="Y75" s="319">
        <f t="shared" si="34"/>
        <v>0</v>
      </c>
      <c r="Z75" s="118">
        <f t="shared" si="34"/>
        <v>0</v>
      </c>
      <c r="AA75" s="118">
        <f t="shared" si="34"/>
        <v>0</v>
      </c>
      <c r="AB75" s="320">
        <f t="shared" si="34"/>
        <v>0</v>
      </c>
    </row>
    <row r="76" spans="9:28" ht="12">
      <c r="I76" s="318">
        <f t="shared" si="11"/>
        <v>2041</v>
      </c>
      <c r="J76" s="318">
        <f t="shared" si="15"/>
        <v>21</v>
      </c>
      <c r="K76" s="319">
        <f aca="true" t="shared" si="35" ref="K76:AB76">ROUND(K27,-3)</f>
        <v>0</v>
      </c>
      <c r="L76" s="118">
        <f t="shared" si="35"/>
        <v>0</v>
      </c>
      <c r="M76" s="320">
        <f t="shared" si="35"/>
        <v>0</v>
      </c>
      <c r="N76" s="321">
        <f t="shared" si="35"/>
        <v>0</v>
      </c>
      <c r="O76" s="118">
        <f t="shared" si="35"/>
        <v>0</v>
      </c>
      <c r="P76" s="322">
        <f t="shared" si="35"/>
        <v>0</v>
      </c>
      <c r="Q76" s="319">
        <f t="shared" si="35"/>
        <v>0</v>
      </c>
      <c r="R76" s="118">
        <f t="shared" si="35"/>
        <v>0</v>
      </c>
      <c r="S76" s="118">
        <f t="shared" si="35"/>
        <v>0</v>
      </c>
      <c r="T76" s="320">
        <f t="shared" si="35"/>
        <v>0</v>
      </c>
      <c r="U76" s="321">
        <f t="shared" si="35"/>
        <v>0</v>
      </c>
      <c r="V76" s="118">
        <f t="shared" si="35"/>
        <v>0</v>
      </c>
      <c r="W76" s="118">
        <f t="shared" si="35"/>
        <v>0</v>
      </c>
      <c r="X76" s="320">
        <f t="shared" si="35"/>
        <v>0</v>
      </c>
      <c r="Y76" s="319">
        <f t="shared" si="35"/>
        <v>0</v>
      </c>
      <c r="Z76" s="118">
        <f t="shared" si="35"/>
        <v>0</v>
      </c>
      <c r="AA76" s="118">
        <f t="shared" si="35"/>
        <v>0</v>
      </c>
      <c r="AB76" s="320">
        <f t="shared" si="35"/>
        <v>0</v>
      </c>
    </row>
    <row r="77" spans="9:28" ht="12">
      <c r="I77" s="318">
        <f t="shared" si="11"/>
        <v>2042</v>
      </c>
      <c r="J77" s="318">
        <f t="shared" si="15"/>
        <v>22</v>
      </c>
      <c r="K77" s="319">
        <f aca="true" t="shared" si="36" ref="K77:AB77">ROUND(K28,-3)</f>
        <v>0</v>
      </c>
      <c r="L77" s="118">
        <f t="shared" si="36"/>
        <v>0</v>
      </c>
      <c r="M77" s="320">
        <f t="shared" si="36"/>
        <v>0</v>
      </c>
      <c r="N77" s="321">
        <f t="shared" si="36"/>
        <v>0</v>
      </c>
      <c r="O77" s="118">
        <f t="shared" si="36"/>
        <v>0</v>
      </c>
      <c r="P77" s="322">
        <f t="shared" si="36"/>
        <v>0</v>
      </c>
      <c r="Q77" s="319">
        <f t="shared" si="36"/>
        <v>0</v>
      </c>
      <c r="R77" s="118">
        <f t="shared" si="36"/>
        <v>0</v>
      </c>
      <c r="S77" s="118">
        <f t="shared" si="36"/>
        <v>0</v>
      </c>
      <c r="T77" s="320">
        <f t="shared" si="36"/>
        <v>0</v>
      </c>
      <c r="U77" s="321">
        <f t="shared" si="36"/>
        <v>0</v>
      </c>
      <c r="V77" s="118">
        <f t="shared" si="36"/>
        <v>0</v>
      </c>
      <c r="W77" s="118">
        <f t="shared" si="36"/>
        <v>0</v>
      </c>
      <c r="X77" s="320">
        <f t="shared" si="36"/>
        <v>0</v>
      </c>
      <c r="Y77" s="319">
        <f t="shared" si="36"/>
        <v>0</v>
      </c>
      <c r="Z77" s="118">
        <f t="shared" si="36"/>
        <v>0</v>
      </c>
      <c r="AA77" s="118">
        <f t="shared" si="36"/>
        <v>0</v>
      </c>
      <c r="AB77" s="320">
        <f t="shared" si="36"/>
        <v>0</v>
      </c>
    </row>
    <row r="78" spans="9:28" ht="12">
      <c r="I78" s="318">
        <f t="shared" si="11"/>
        <v>2043</v>
      </c>
      <c r="J78" s="318">
        <f t="shared" si="15"/>
        <v>23</v>
      </c>
      <c r="K78" s="319">
        <f aca="true" t="shared" si="37" ref="K78:AB78">ROUND(K29,-3)</f>
        <v>0</v>
      </c>
      <c r="L78" s="118">
        <f t="shared" si="37"/>
        <v>0</v>
      </c>
      <c r="M78" s="320">
        <f t="shared" si="37"/>
        <v>0</v>
      </c>
      <c r="N78" s="321">
        <f t="shared" si="37"/>
        <v>0</v>
      </c>
      <c r="O78" s="118">
        <f t="shared" si="37"/>
        <v>0</v>
      </c>
      <c r="P78" s="322">
        <f t="shared" si="37"/>
        <v>0</v>
      </c>
      <c r="Q78" s="319">
        <f t="shared" si="37"/>
        <v>0</v>
      </c>
      <c r="R78" s="118">
        <f t="shared" si="37"/>
        <v>0</v>
      </c>
      <c r="S78" s="118">
        <f t="shared" si="37"/>
        <v>0</v>
      </c>
      <c r="T78" s="320">
        <f t="shared" si="37"/>
        <v>0</v>
      </c>
      <c r="U78" s="321">
        <f t="shared" si="37"/>
        <v>0</v>
      </c>
      <c r="V78" s="118">
        <f t="shared" si="37"/>
        <v>0</v>
      </c>
      <c r="W78" s="118">
        <f t="shared" si="37"/>
        <v>0</v>
      </c>
      <c r="X78" s="320">
        <f t="shared" si="37"/>
        <v>0</v>
      </c>
      <c r="Y78" s="319">
        <f t="shared" si="37"/>
        <v>0</v>
      </c>
      <c r="Z78" s="118">
        <f t="shared" si="37"/>
        <v>0</v>
      </c>
      <c r="AA78" s="118">
        <f t="shared" si="37"/>
        <v>0</v>
      </c>
      <c r="AB78" s="320">
        <f t="shared" si="37"/>
        <v>0</v>
      </c>
    </row>
    <row r="79" spans="9:28" ht="12">
      <c r="I79" s="318">
        <f t="shared" si="11"/>
        <v>2044</v>
      </c>
      <c r="J79" s="318">
        <f t="shared" si="15"/>
        <v>24</v>
      </c>
      <c r="K79" s="319">
        <f aca="true" t="shared" si="38" ref="K79:AB79">ROUND(K30,-3)</f>
        <v>0</v>
      </c>
      <c r="L79" s="118">
        <f t="shared" si="38"/>
        <v>0</v>
      </c>
      <c r="M79" s="320">
        <f t="shared" si="38"/>
        <v>0</v>
      </c>
      <c r="N79" s="321">
        <f t="shared" si="38"/>
        <v>0</v>
      </c>
      <c r="O79" s="118">
        <f t="shared" si="38"/>
        <v>0</v>
      </c>
      <c r="P79" s="322">
        <f t="shared" si="38"/>
        <v>0</v>
      </c>
      <c r="Q79" s="319">
        <f t="shared" si="38"/>
        <v>0</v>
      </c>
      <c r="R79" s="118">
        <f t="shared" si="38"/>
        <v>0</v>
      </c>
      <c r="S79" s="118">
        <f t="shared" si="38"/>
        <v>0</v>
      </c>
      <c r="T79" s="320">
        <f t="shared" si="38"/>
        <v>0</v>
      </c>
      <c r="U79" s="321">
        <f t="shared" si="38"/>
        <v>0</v>
      </c>
      <c r="V79" s="118">
        <f t="shared" si="38"/>
        <v>0</v>
      </c>
      <c r="W79" s="118">
        <f t="shared" si="38"/>
        <v>0</v>
      </c>
      <c r="X79" s="320">
        <f t="shared" si="38"/>
        <v>0</v>
      </c>
      <c r="Y79" s="319">
        <f t="shared" si="38"/>
        <v>0</v>
      </c>
      <c r="Z79" s="118">
        <f t="shared" si="38"/>
        <v>0</v>
      </c>
      <c r="AA79" s="118">
        <f t="shared" si="38"/>
        <v>0</v>
      </c>
      <c r="AB79" s="320">
        <f t="shared" si="38"/>
        <v>0</v>
      </c>
    </row>
    <row r="80" spans="9:28" ht="12">
      <c r="I80" s="318">
        <f t="shared" si="11"/>
        <v>2045</v>
      </c>
      <c r="J80" s="318">
        <f t="shared" si="15"/>
        <v>25</v>
      </c>
      <c r="K80" s="319">
        <f aca="true" t="shared" si="39" ref="K80:AB80">ROUND(K31,-3)</f>
        <v>0</v>
      </c>
      <c r="L80" s="118">
        <f t="shared" si="39"/>
        <v>0</v>
      </c>
      <c r="M80" s="320">
        <f t="shared" si="39"/>
        <v>0</v>
      </c>
      <c r="N80" s="321">
        <f t="shared" si="39"/>
        <v>0</v>
      </c>
      <c r="O80" s="118">
        <f t="shared" si="39"/>
        <v>0</v>
      </c>
      <c r="P80" s="322">
        <f t="shared" si="39"/>
        <v>0</v>
      </c>
      <c r="Q80" s="319">
        <f t="shared" si="39"/>
        <v>0</v>
      </c>
      <c r="R80" s="118">
        <f t="shared" si="39"/>
        <v>0</v>
      </c>
      <c r="S80" s="118">
        <f t="shared" si="39"/>
        <v>0</v>
      </c>
      <c r="T80" s="320">
        <f t="shared" si="39"/>
        <v>0</v>
      </c>
      <c r="U80" s="321">
        <f t="shared" si="39"/>
        <v>0</v>
      </c>
      <c r="V80" s="118">
        <f t="shared" si="39"/>
        <v>0</v>
      </c>
      <c r="W80" s="118">
        <f t="shared" si="39"/>
        <v>0</v>
      </c>
      <c r="X80" s="320">
        <f t="shared" si="39"/>
        <v>0</v>
      </c>
      <c r="Y80" s="319">
        <f t="shared" si="39"/>
        <v>0</v>
      </c>
      <c r="Z80" s="118">
        <f t="shared" si="39"/>
        <v>0</v>
      </c>
      <c r="AA80" s="118">
        <f t="shared" si="39"/>
        <v>0</v>
      </c>
      <c r="AB80" s="320">
        <f t="shared" si="39"/>
        <v>0</v>
      </c>
    </row>
    <row r="81" spans="9:28" ht="12">
      <c r="I81" s="318">
        <f t="shared" si="11"/>
        <v>2046</v>
      </c>
      <c r="J81" s="318">
        <f t="shared" si="15"/>
        <v>26</v>
      </c>
      <c r="K81" s="319">
        <f aca="true" t="shared" si="40" ref="K81:AB81">ROUND(K32,-3)</f>
        <v>0</v>
      </c>
      <c r="L81" s="118">
        <f t="shared" si="40"/>
        <v>0</v>
      </c>
      <c r="M81" s="320">
        <f t="shared" si="40"/>
        <v>0</v>
      </c>
      <c r="N81" s="321">
        <f t="shared" si="40"/>
        <v>0</v>
      </c>
      <c r="O81" s="118">
        <f t="shared" si="40"/>
        <v>0</v>
      </c>
      <c r="P81" s="322">
        <f t="shared" si="40"/>
        <v>0</v>
      </c>
      <c r="Q81" s="319">
        <f t="shared" si="40"/>
        <v>0</v>
      </c>
      <c r="R81" s="118">
        <f t="shared" si="40"/>
        <v>0</v>
      </c>
      <c r="S81" s="118">
        <f t="shared" si="40"/>
        <v>0</v>
      </c>
      <c r="T81" s="320">
        <f t="shared" si="40"/>
        <v>0</v>
      </c>
      <c r="U81" s="321">
        <f t="shared" si="40"/>
        <v>0</v>
      </c>
      <c r="V81" s="118">
        <f t="shared" si="40"/>
        <v>0</v>
      </c>
      <c r="W81" s="118">
        <f t="shared" si="40"/>
        <v>0</v>
      </c>
      <c r="X81" s="320">
        <f t="shared" si="40"/>
        <v>0</v>
      </c>
      <c r="Y81" s="319">
        <f t="shared" si="40"/>
        <v>0</v>
      </c>
      <c r="Z81" s="118">
        <f t="shared" si="40"/>
        <v>0</v>
      </c>
      <c r="AA81" s="118">
        <f t="shared" si="40"/>
        <v>0</v>
      </c>
      <c r="AB81" s="320">
        <f t="shared" si="40"/>
        <v>0</v>
      </c>
    </row>
    <row r="82" spans="9:28" ht="12">
      <c r="I82" s="318">
        <f t="shared" si="11"/>
        <v>2047</v>
      </c>
      <c r="J82" s="318">
        <f t="shared" si="15"/>
        <v>27</v>
      </c>
      <c r="K82" s="319">
        <f aca="true" t="shared" si="41" ref="K82:AB82">ROUND(K33,-3)</f>
        <v>0</v>
      </c>
      <c r="L82" s="118">
        <f t="shared" si="41"/>
        <v>0</v>
      </c>
      <c r="M82" s="320">
        <f t="shared" si="41"/>
        <v>0</v>
      </c>
      <c r="N82" s="321">
        <f t="shared" si="41"/>
        <v>0</v>
      </c>
      <c r="O82" s="118">
        <f t="shared" si="41"/>
        <v>0</v>
      </c>
      <c r="P82" s="322">
        <f t="shared" si="41"/>
        <v>0</v>
      </c>
      <c r="Q82" s="319">
        <f t="shared" si="41"/>
        <v>0</v>
      </c>
      <c r="R82" s="118">
        <f t="shared" si="41"/>
        <v>0</v>
      </c>
      <c r="S82" s="118">
        <f t="shared" si="41"/>
        <v>0</v>
      </c>
      <c r="T82" s="320">
        <f t="shared" si="41"/>
        <v>0</v>
      </c>
      <c r="U82" s="321">
        <f t="shared" si="41"/>
        <v>0</v>
      </c>
      <c r="V82" s="118">
        <f t="shared" si="41"/>
        <v>0</v>
      </c>
      <c r="W82" s="118">
        <f t="shared" si="41"/>
        <v>0</v>
      </c>
      <c r="X82" s="320">
        <f t="shared" si="41"/>
        <v>0</v>
      </c>
      <c r="Y82" s="319">
        <f t="shared" si="41"/>
        <v>0</v>
      </c>
      <c r="Z82" s="118">
        <f t="shared" si="41"/>
        <v>0</v>
      </c>
      <c r="AA82" s="118">
        <f t="shared" si="41"/>
        <v>0</v>
      </c>
      <c r="AB82" s="320">
        <f t="shared" si="41"/>
        <v>0</v>
      </c>
    </row>
    <row r="83" spans="9:28" ht="12">
      <c r="I83" s="318">
        <f t="shared" si="11"/>
        <v>2048</v>
      </c>
      <c r="J83" s="318">
        <f t="shared" si="15"/>
        <v>28</v>
      </c>
      <c r="K83" s="319">
        <f aca="true" t="shared" si="42" ref="K83:AB83">ROUND(K34,-3)</f>
        <v>0</v>
      </c>
      <c r="L83" s="118">
        <f t="shared" si="42"/>
        <v>0</v>
      </c>
      <c r="M83" s="320">
        <f t="shared" si="42"/>
        <v>0</v>
      </c>
      <c r="N83" s="321">
        <f t="shared" si="42"/>
        <v>0</v>
      </c>
      <c r="O83" s="118">
        <f t="shared" si="42"/>
        <v>0</v>
      </c>
      <c r="P83" s="322">
        <f t="shared" si="42"/>
        <v>0</v>
      </c>
      <c r="Q83" s="319">
        <f t="shared" si="42"/>
        <v>0</v>
      </c>
      <c r="R83" s="118">
        <f t="shared" si="42"/>
        <v>0</v>
      </c>
      <c r="S83" s="118">
        <f t="shared" si="42"/>
        <v>0</v>
      </c>
      <c r="T83" s="320">
        <f t="shared" si="42"/>
        <v>0</v>
      </c>
      <c r="U83" s="321">
        <f t="shared" si="42"/>
        <v>0</v>
      </c>
      <c r="V83" s="118">
        <f t="shared" si="42"/>
        <v>0</v>
      </c>
      <c r="W83" s="118">
        <f t="shared" si="42"/>
        <v>0</v>
      </c>
      <c r="X83" s="320">
        <f t="shared" si="42"/>
        <v>0</v>
      </c>
      <c r="Y83" s="319">
        <f t="shared" si="42"/>
        <v>0</v>
      </c>
      <c r="Z83" s="118">
        <f t="shared" si="42"/>
        <v>0</v>
      </c>
      <c r="AA83" s="118">
        <f t="shared" si="42"/>
        <v>0</v>
      </c>
      <c r="AB83" s="320">
        <f t="shared" si="42"/>
        <v>0</v>
      </c>
    </row>
    <row r="84" spans="9:28" ht="12">
      <c r="I84" s="318">
        <f t="shared" si="11"/>
        <v>2049</v>
      </c>
      <c r="J84" s="318">
        <f t="shared" si="15"/>
        <v>29</v>
      </c>
      <c r="K84" s="319">
        <f aca="true" t="shared" si="43" ref="K84:AB84">ROUND(K35,-3)</f>
        <v>0</v>
      </c>
      <c r="L84" s="118">
        <f t="shared" si="43"/>
        <v>0</v>
      </c>
      <c r="M84" s="320">
        <f t="shared" si="43"/>
        <v>0</v>
      </c>
      <c r="N84" s="321">
        <f t="shared" si="43"/>
        <v>0</v>
      </c>
      <c r="O84" s="118">
        <f t="shared" si="43"/>
        <v>0</v>
      </c>
      <c r="P84" s="322">
        <f t="shared" si="43"/>
        <v>0</v>
      </c>
      <c r="Q84" s="319">
        <f t="shared" si="43"/>
        <v>0</v>
      </c>
      <c r="R84" s="118">
        <f t="shared" si="43"/>
        <v>0</v>
      </c>
      <c r="S84" s="118">
        <f t="shared" si="43"/>
        <v>0</v>
      </c>
      <c r="T84" s="320">
        <f t="shared" si="43"/>
        <v>0</v>
      </c>
      <c r="U84" s="321">
        <f t="shared" si="43"/>
        <v>0</v>
      </c>
      <c r="V84" s="118">
        <f t="shared" si="43"/>
        <v>0</v>
      </c>
      <c r="W84" s="118">
        <f t="shared" si="43"/>
        <v>0</v>
      </c>
      <c r="X84" s="320">
        <f t="shared" si="43"/>
        <v>0</v>
      </c>
      <c r="Y84" s="319">
        <f t="shared" si="43"/>
        <v>0</v>
      </c>
      <c r="Z84" s="118">
        <f t="shared" si="43"/>
        <v>0</v>
      </c>
      <c r="AA84" s="118">
        <f t="shared" si="43"/>
        <v>0</v>
      </c>
      <c r="AB84" s="320">
        <f t="shared" si="43"/>
        <v>0</v>
      </c>
    </row>
    <row r="85" spans="9:28" ht="12.75" thickBot="1">
      <c r="I85" s="326">
        <f t="shared" si="11"/>
        <v>2050</v>
      </c>
      <c r="J85" s="318">
        <f t="shared" si="15"/>
        <v>30</v>
      </c>
      <c r="K85" s="319">
        <f aca="true" t="shared" si="44" ref="K85:AB85">ROUND(K36,-3)</f>
        <v>0</v>
      </c>
      <c r="L85" s="118">
        <f t="shared" si="44"/>
        <v>0</v>
      </c>
      <c r="M85" s="320">
        <f t="shared" si="44"/>
        <v>0</v>
      </c>
      <c r="N85" s="321">
        <f t="shared" si="44"/>
        <v>0</v>
      </c>
      <c r="O85" s="118">
        <f t="shared" si="44"/>
        <v>0</v>
      </c>
      <c r="P85" s="322">
        <f t="shared" si="44"/>
        <v>0</v>
      </c>
      <c r="Q85" s="327">
        <f t="shared" si="44"/>
        <v>0</v>
      </c>
      <c r="R85" s="328">
        <f t="shared" si="44"/>
        <v>0</v>
      </c>
      <c r="S85" s="328">
        <f t="shared" si="44"/>
        <v>0</v>
      </c>
      <c r="T85" s="320">
        <f t="shared" si="44"/>
        <v>0</v>
      </c>
      <c r="U85" s="329">
        <f t="shared" si="44"/>
        <v>0</v>
      </c>
      <c r="V85" s="328">
        <f t="shared" si="44"/>
        <v>0</v>
      </c>
      <c r="W85" s="328">
        <f t="shared" si="44"/>
        <v>0</v>
      </c>
      <c r="X85" s="330">
        <f t="shared" si="44"/>
        <v>0</v>
      </c>
      <c r="Y85" s="327">
        <f t="shared" si="44"/>
        <v>0</v>
      </c>
      <c r="Z85" s="328">
        <f t="shared" si="44"/>
        <v>0</v>
      </c>
      <c r="AA85" s="328">
        <f t="shared" si="44"/>
        <v>0</v>
      </c>
      <c r="AB85" s="330">
        <f t="shared" si="44"/>
        <v>0</v>
      </c>
    </row>
    <row r="86" spans="9:28" ht="12.75" thickBot="1">
      <c r="I86" s="334" t="s">
        <v>238</v>
      </c>
      <c r="J86" s="334"/>
      <c r="K86" s="335">
        <f aca="true" t="shared" si="45" ref="K86:AB86">ROUND(K37,-3)</f>
        <v>1073000</v>
      </c>
      <c r="L86" s="336">
        <f t="shared" si="45"/>
        <v>1167000</v>
      </c>
      <c r="M86" s="337">
        <f t="shared" si="45"/>
        <v>534000</v>
      </c>
      <c r="N86" s="338">
        <f t="shared" si="45"/>
        <v>11957000</v>
      </c>
      <c r="O86" s="336">
        <f t="shared" si="45"/>
        <v>9725000</v>
      </c>
      <c r="P86" s="339">
        <f t="shared" si="45"/>
        <v>5339000</v>
      </c>
      <c r="Q86" s="335">
        <f t="shared" si="45"/>
        <v>13030000</v>
      </c>
      <c r="R86" s="336">
        <f t="shared" si="45"/>
        <v>10892000</v>
      </c>
      <c r="S86" s="336">
        <f t="shared" si="45"/>
        <v>5872000</v>
      </c>
      <c r="T86" s="337">
        <f t="shared" si="45"/>
        <v>29795000</v>
      </c>
      <c r="U86" s="338">
        <f t="shared" si="45"/>
        <v>12516000</v>
      </c>
      <c r="V86" s="336">
        <f t="shared" si="45"/>
        <v>10465000</v>
      </c>
      <c r="W86" s="336">
        <f t="shared" si="45"/>
        <v>5544000</v>
      </c>
      <c r="X86" s="337">
        <f t="shared" si="45"/>
        <v>28525000</v>
      </c>
      <c r="Y86" s="335">
        <f t="shared" si="45"/>
        <v>11886000</v>
      </c>
      <c r="Z86" s="336">
        <f t="shared" si="45"/>
        <v>9942000</v>
      </c>
      <c r="AA86" s="336">
        <f t="shared" si="45"/>
        <v>5149000</v>
      </c>
      <c r="AB86" s="337">
        <f t="shared" si="45"/>
        <v>26976000</v>
      </c>
    </row>
  </sheetData>
  <sheetProtection/>
  <mergeCells count="18">
    <mergeCell ref="A1:G1"/>
    <mergeCell ref="I1:AB1"/>
    <mergeCell ref="A2:A3"/>
    <mergeCell ref="U2:X2"/>
    <mergeCell ref="Y2:AB2"/>
    <mergeCell ref="B2:D2"/>
    <mergeCell ref="E2:G2"/>
    <mergeCell ref="I2:I3"/>
    <mergeCell ref="K2:M2"/>
    <mergeCell ref="N2:P2"/>
    <mergeCell ref="Q2:T2"/>
    <mergeCell ref="I50:AB50"/>
    <mergeCell ref="I51:I52"/>
    <mergeCell ref="K51:M51"/>
    <mergeCell ref="N51:P51"/>
    <mergeCell ref="Q51:T51"/>
    <mergeCell ref="U51:X51"/>
    <mergeCell ref="Y51:AB5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D6"/>
  <sheetViews>
    <sheetView zoomScalePageLayoutView="0" workbookViewId="0" topLeftCell="A1">
      <selection activeCell="H4" sqref="H4"/>
    </sheetView>
  </sheetViews>
  <sheetFormatPr defaultColWidth="9.140625" defaultRowHeight="12.75"/>
  <cols>
    <col min="1" max="1" width="9.140625" style="99" customWidth="1"/>
    <col min="2" max="4" width="45.7109375" style="99" customWidth="1"/>
    <col min="5" max="16384" width="9.140625" style="99" customWidth="1"/>
  </cols>
  <sheetData>
    <row r="1" spans="2:4" ht="12.75">
      <c r="B1" s="544" t="s">
        <v>439</v>
      </c>
      <c r="C1" s="545"/>
      <c r="D1" s="546"/>
    </row>
    <row r="2" spans="2:4" ht="30" customHeight="1" thickBot="1">
      <c r="B2" s="405" t="s">
        <v>300</v>
      </c>
      <c r="C2" s="101" t="s">
        <v>301</v>
      </c>
      <c r="D2" s="406" t="s">
        <v>302</v>
      </c>
    </row>
    <row r="3" spans="2:4" ht="80.25" customHeight="1" thickTop="1">
      <c r="B3" s="407" t="s">
        <v>432</v>
      </c>
      <c r="C3" s="403" t="s">
        <v>440</v>
      </c>
      <c r="D3" s="408" t="s">
        <v>433</v>
      </c>
    </row>
    <row r="4" spans="2:4" ht="80.25" customHeight="1">
      <c r="B4" s="409" t="s">
        <v>434</v>
      </c>
      <c r="C4" s="404" t="s">
        <v>441</v>
      </c>
      <c r="D4" s="410" t="s">
        <v>435</v>
      </c>
    </row>
    <row r="5" spans="2:4" ht="80.25" customHeight="1">
      <c r="B5" s="409" t="s">
        <v>436</v>
      </c>
      <c r="C5" s="404" t="s">
        <v>437</v>
      </c>
      <c r="D5" s="410" t="s">
        <v>254</v>
      </c>
    </row>
    <row r="6" spans="2:4" ht="80.25" customHeight="1" thickBot="1">
      <c r="B6" s="354" t="s">
        <v>132</v>
      </c>
      <c r="C6" s="411" t="s">
        <v>133</v>
      </c>
      <c r="D6" s="412" t="s">
        <v>438</v>
      </c>
    </row>
  </sheetData>
  <sheetProtection/>
  <mergeCells count="1">
    <mergeCell ref="B1:D1"/>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2:D36"/>
  <sheetViews>
    <sheetView zoomScalePageLayoutView="0" workbookViewId="0" topLeftCell="A1">
      <selection activeCell="B23" sqref="B23"/>
    </sheetView>
  </sheetViews>
  <sheetFormatPr defaultColWidth="9.140625" defaultRowHeight="12.75"/>
  <cols>
    <col min="1" max="1" width="9.140625" style="80" customWidth="1"/>
    <col min="2" max="4" width="20.7109375" style="80" customWidth="1"/>
    <col min="5" max="16384" width="9.140625" style="80" customWidth="1"/>
  </cols>
  <sheetData>
    <row r="1" ht="12.75" thickBot="1"/>
    <row r="2" spans="1:4" ht="36">
      <c r="A2" s="311" t="s">
        <v>231</v>
      </c>
      <c r="B2" s="157" t="s">
        <v>399</v>
      </c>
      <c r="C2" s="157" t="s">
        <v>400</v>
      </c>
      <c r="D2" s="158" t="s">
        <v>401</v>
      </c>
    </row>
    <row r="3" spans="1:4" ht="12">
      <c r="A3" s="315">
        <v>2018</v>
      </c>
      <c r="B3" s="234">
        <v>0</v>
      </c>
      <c r="C3" s="234">
        <f>B3/((1+Inputs!$B$6)^(A3-Inputs!$B$10))</f>
        <v>0</v>
      </c>
      <c r="D3" s="236">
        <f>B3/((1+Inputs!$B$5)^(A3-Inputs!$B$10))</f>
        <v>0</v>
      </c>
    </row>
    <row r="4" spans="1:4" ht="12">
      <c r="A4" s="315">
        <f>A3+1</f>
        <v>2019</v>
      </c>
      <c r="B4" s="234">
        <v>0</v>
      </c>
      <c r="C4" s="234">
        <f>B4/((1+Inputs!$B$6)^(A4-Inputs!$B$10))</f>
        <v>0</v>
      </c>
      <c r="D4" s="236">
        <f>B4/((1+Inputs!$B$5)^(A4-Inputs!$B$10))</f>
        <v>0</v>
      </c>
    </row>
    <row r="5" spans="1:4" ht="12">
      <c r="A5" s="315">
        <f aca="true" t="shared" si="0" ref="A5:A35">A4+1</f>
        <v>2020</v>
      </c>
      <c r="B5" s="234">
        <v>0</v>
      </c>
      <c r="C5" s="234">
        <f>B5/((1+Inputs!$B$6)^(A5-Inputs!$B$10))</f>
        <v>0</v>
      </c>
      <c r="D5" s="236">
        <f>B5/((1+Inputs!$B$5)^(A5-Inputs!$B$10))</f>
        <v>0</v>
      </c>
    </row>
    <row r="6" spans="1:4" ht="12">
      <c r="A6" s="315">
        <f t="shared" si="0"/>
        <v>2021</v>
      </c>
      <c r="B6" s="234">
        <v>0</v>
      </c>
      <c r="C6" s="234">
        <f>B6/((1+Inputs!$B$6)^(A6-Inputs!$B$10))</f>
        <v>0</v>
      </c>
      <c r="D6" s="236">
        <f>B6/((1+Inputs!$B$5)^(A6-Inputs!$B$10))</f>
        <v>0</v>
      </c>
    </row>
    <row r="7" spans="1:4" ht="12">
      <c r="A7" s="315">
        <f t="shared" si="0"/>
        <v>2022</v>
      </c>
      <c r="B7" s="234">
        <v>0</v>
      </c>
      <c r="C7" s="234">
        <f>B7/((1+Inputs!$B$6)^(A7-Inputs!$B$10))</f>
        <v>0</v>
      </c>
      <c r="D7" s="236">
        <f>B7/((1+Inputs!$B$5)^(A7-Inputs!$B$10))</f>
        <v>0</v>
      </c>
    </row>
    <row r="8" spans="1:4" ht="12">
      <c r="A8" s="315">
        <f t="shared" si="0"/>
        <v>2023</v>
      </c>
      <c r="B8" s="234">
        <v>0</v>
      </c>
      <c r="C8" s="234">
        <f>B8/((1+Inputs!$B$6)^(A8-Inputs!$B$10))</f>
        <v>0</v>
      </c>
      <c r="D8" s="236">
        <f>B8/((1+Inputs!$B$5)^(A8-Inputs!$B$10))</f>
        <v>0</v>
      </c>
    </row>
    <row r="9" spans="1:4" ht="12">
      <c r="A9" s="315">
        <f t="shared" si="0"/>
        <v>2024</v>
      </c>
      <c r="B9" s="234">
        <v>0</v>
      </c>
      <c r="C9" s="234">
        <f>B9/((1+Inputs!$B$6)^(A9-Inputs!$B$10))</f>
        <v>0</v>
      </c>
      <c r="D9" s="236">
        <f>B9/((1+Inputs!$B$5)^(A9-Inputs!$B$10))</f>
        <v>0</v>
      </c>
    </row>
    <row r="10" spans="1:4" ht="12">
      <c r="A10" s="315">
        <f t="shared" si="0"/>
        <v>2025</v>
      </c>
      <c r="B10" s="234">
        <v>0</v>
      </c>
      <c r="C10" s="234">
        <f>B10/((1+Inputs!$B$6)^(A10-Inputs!$B$10))</f>
        <v>0</v>
      </c>
      <c r="D10" s="236">
        <f>B10/((1+Inputs!$B$5)^(A10-Inputs!$B$10))</f>
        <v>0</v>
      </c>
    </row>
    <row r="11" spans="1:4" ht="12">
      <c r="A11" s="315">
        <f t="shared" si="0"/>
        <v>2026</v>
      </c>
      <c r="B11" s="234">
        <v>0</v>
      </c>
      <c r="C11" s="234">
        <f>B11/((1+Inputs!$B$6)^(A11-Inputs!$B$10))</f>
        <v>0</v>
      </c>
      <c r="D11" s="236">
        <f>B11/((1+Inputs!$B$5)^(A11-Inputs!$B$10))</f>
        <v>0</v>
      </c>
    </row>
    <row r="12" spans="1:4" ht="12">
      <c r="A12" s="315">
        <f t="shared" si="0"/>
        <v>2027</v>
      </c>
      <c r="B12" s="234">
        <v>0</v>
      </c>
      <c r="C12" s="234">
        <f>B12/((1+Inputs!$B$6)^(A12-Inputs!$B$10))</f>
        <v>0</v>
      </c>
      <c r="D12" s="236">
        <f>B12/((1+Inputs!$B$5)^(A12-Inputs!$B$10))</f>
        <v>0</v>
      </c>
    </row>
    <row r="13" spans="1:4" ht="12">
      <c r="A13" s="315">
        <f t="shared" si="0"/>
        <v>2028</v>
      </c>
      <c r="B13" s="234">
        <f>IF('Globalplex TEU'!C13=0,0,Inputs!$B$11)</f>
        <v>0</v>
      </c>
      <c r="C13" s="234">
        <f>B13/((1+Inputs!$B$6)^(A13-Inputs!$B$10))</f>
        <v>0</v>
      </c>
      <c r="D13" s="236">
        <f>B13/((1+Inputs!$B$5)^(A13-Inputs!$B$10))</f>
        <v>0</v>
      </c>
    </row>
    <row r="14" spans="1:4" ht="12">
      <c r="A14" s="315">
        <f t="shared" si="0"/>
        <v>2029</v>
      </c>
      <c r="B14" s="234">
        <f>IF('Globalplex TEU'!C14=0,0,Inputs!$B$11)</f>
        <v>0</v>
      </c>
      <c r="C14" s="234">
        <f>B14/((1+Inputs!$B$6)^(A14-Inputs!$B$10))</f>
        <v>0</v>
      </c>
      <c r="D14" s="236">
        <f>B14/((1+Inputs!$B$5)^(A14-Inputs!$B$10))</f>
        <v>0</v>
      </c>
    </row>
    <row r="15" spans="1:4" ht="12">
      <c r="A15" s="315">
        <f t="shared" si="0"/>
        <v>2030</v>
      </c>
      <c r="B15" s="234">
        <f>IF('Globalplex TEU'!C15=0,0,Inputs!$B$11)</f>
        <v>0</v>
      </c>
      <c r="C15" s="234">
        <f>B15/((1+Inputs!$B$6)^(A15-Inputs!$B$10))</f>
        <v>0</v>
      </c>
      <c r="D15" s="236">
        <f>B15/((1+Inputs!$B$5)^(A15-Inputs!$B$10))</f>
        <v>0</v>
      </c>
    </row>
    <row r="16" spans="1:4" ht="12">
      <c r="A16" s="315">
        <f t="shared" si="0"/>
        <v>2031</v>
      </c>
      <c r="B16" s="234">
        <f>IF('Globalplex TEU'!C16=0,0,Inputs!$B$11)</f>
        <v>0</v>
      </c>
      <c r="C16" s="234">
        <f>B16/((1+Inputs!$B$6)^(A16-Inputs!$B$10))</f>
        <v>0</v>
      </c>
      <c r="D16" s="236">
        <f>B16/((1+Inputs!$B$5)^(A16-Inputs!$B$10))</f>
        <v>0</v>
      </c>
    </row>
    <row r="17" spans="1:4" ht="12">
      <c r="A17" s="315">
        <f t="shared" si="0"/>
        <v>2032</v>
      </c>
      <c r="B17" s="234">
        <f>IF('Globalplex TEU'!C17=0,0,Inputs!$B$11)</f>
        <v>0</v>
      </c>
      <c r="C17" s="234">
        <f>B17/((1+Inputs!$B$6)^(A17-Inputs!$B$10))</f>
        <v>0</v>
      </c>
      <c r="D17" s="236">
        <f>B17/((1+Inputs!$B$5)^(A17-Inputs!$B$10))</f>
        <v>0</v>
      </c>
    </row>
    <row r="18" spans="1:4" ht="12">
      <c r="A18" s="315">
        <f t="shared" si="0"/>
        <v>2033</v>
      </c>
      <c r="B18" s="234">
        <f>IF('Globalplex TEU'!C18=0,0,Inputs!$B$11)</f>
        <v>0</v>
      </c>
      <c r="C18" s="234">
        <f>B18/((1+Inputs!$B$6)^(A18-Inputs!$B$10))</f>
        <v>0</v>
      </c>
      <c r="D18" s="236">
        <f>B18/((1+Inputs!$B$5)^(A18-Inputs!$B$10))</f>
        <v>0</v>
      </c>
    </row>
    <row r="19" spans="1:4" ht="12">
      <c r="A19" s="315">
        <f t="shared" si="0"/>
        <v>2034</v>
      </c>
      <c r="B19" s="234">
        <f>IF('Globalplex TEU'!C19=0,0,Inputs!$B$11)</f>
        <v>0</v>
      </c>
      <c r="C19" s="234">
        <f>B19/((1+Inputs!$B$6)^(A19-Inputs!$B$10))</f>
        <v>0</v>
      </c>
      <c r="D19" s="236">
        <f>B19/((1+Inputs!$B$5)^(A19-Inputs!$B$10))</f>
        <v>0</v>
      </c>
    </row>
    <row r="20" spans="1:4" ht="12">
      <c r="A20" s="315">
        <f t="shared" si="0"/>
        <v>2035</v>
      </c>
      <c r="B20" s="234">
        <f>IF('Globalplex TEU'!C20=0,0,Inputs!$B$11)</f>
        <v>0</v>
      </c>
      <c r="C20" s="234">
        <f>B20/((1+Inputs!$B$6)^(A20-Inputs!$B$10))</f>
        <v>0</v>
      </c>
      <c r="D20" s="236">
        <f>B20/((1+Inputs!$B$5)^(A20-Inputs!$B$10))</f>
        <v>0</v>
      </c>
    </row>
    <row r="21" spans="1:4" ht="12">
      <c r="A21" s="315">
        <f t="shared" si="0"/>
        <v>2036</v>
      </c>
      <c r="B21" s="234">
        <f>IF('Globalplex TEU'!C21=0,0,Inputs!$B$11)</f>
        <v>0</v>
      </c>
      <c r="C21" s="234">
        <f>B21/((1+Inputs!$B$6)^(A21-Inputs!$B$10))</f>
        <v>0</v>
      </c>
      <c r="D21" s="236">
        <f>B21/((1+Inputs!$B$5)^(A21-Inputs!$B$10))</f>
        <v>0</v>
      </c>
    </row>
    <row r="22" spans="1:4" ht="12">
      <c r="A22" s="315">
        <f t="shared" si="0"/>
        <v>2037</v>
      </c>
      <c r="B22" s="234">
        <f>IF('Globalplex TEU'!C22=0,0,Inputs!$B$11)</f>
        <v>0</v>
      </c>
      <c r="C22" s="234">
        <f>B22/((1+Inputs!$B$6)^(A22-Inputs!$B$10))</f>
        <v>0</v>
      </c>
      <c r="D22" s="236">
        <f>B22/((1+Inputs!$B$5)^(A22-Inputs!$B$10))</f>
        <v>0</v>
      </c>
    </row>
    <row r="23" spans="1:4" ht="12">
      <c r="A23" s="315">
        <f t="shared" si="0"/>
        <v>2038</v>
      </c>
      <c r="B23" s="234">
        <f>IF('Globalplex TEU'!C23=0,0,Inputs!$B$11)</f>
        <v>0</v>
      </c>
      <c r="C23" s="234">
        <f>B23/((1+Inputs!$B$6)^(A23-Inputs!$B$10))</f>
        <v>0</v>
      </c>
      <c r="D23" s="236">
        <f>B23/((1+Inputs!$B$5)^(A23-Inputs!$B$10))</f>
        <v>0</v>
      </c>
    </row>
    <row r="24" spans="1:4" ht="12">
      <c r="A24" s="315">
        <f t="shared" si="0"/>
        <v>2039</v>
      </c>
      <c r="B24" s="234">
        <f>IF('Globalplex TEU'!C24=0,0,Inputs!$B$11)</f>
        <v>0</v>
      </c>
      <c r="C24" s="234">
        <f>B24/((1+Inputs!$B$6)^(A24-Inputs!$B$10))</f>
        <v>0</v>
      </c>
      <c r="D24" s="236">
        <f>B24/((1+Inputs!$B$5)^(A24-Inputs!$B$10))</f>
        <v>0</v>
      </c>
    </row>
    <row r="25" spans="1:4" ht="12">
      <c r="A25" s="315">
        <f t="shared" si="0"/>
        <v>2040</v>
      </c>
      <c r="B25" s="234">
        <f>IF('Globalplex TEU'!C25=0,0,Inputs!$B$11)</f>
        <v>0</v>
      </c>
      <c r="C25" s="234">
        <f>B25/((1+Inputs!$B$6)^(A25-Inputs!$B$10))</f>
        <v>0</v>
      </c>
      <c r="D25" s="236">
        <f>B25/((1+Inputs!$B$5)^(A25-Inputs!$B$10))</f>
        <v>0</v>
      </c>
    </row>
    <row r="26" spans="1:4" ht="12">
      <c r="A26" s="315">
        <f t="shared" si="0"/>
        <v>2041</v>
      </c>
      <c r="B26" s="234">
        <f>IF('Globalplex TEU'!C26=0,0,Inputs!$B$11)</f>
        <v>0</v>
      </c>
      <c r="C26" s="234">
        <f>B26/((1+Inputs!$B$6)^(A26-Inputs!$B$10))</f>
        <v>0</v>
      </c>
      <c r="D26" s="236">
        <f>B26/((1+Inputs!$B$5)^(A26-Inputs!$B$10))</f>
        <v>0</v>
      </c>
    </row>
    <row r="27" spans="1:4" ht="12">
      <c r="A27" s="315">
        <f t="shared" si="0"/>
        <v>2042</v>
      </c>
      <c r="B27" s="234">
        <f>IF('Globalplex TEU'!C27=0,0,Inputs!$B$11)</f>
        <v>0</v>
      </c>
      <c r="C27" s="234">
        <f>B27/((1+Inputs!$B$6)^(A27-Inputs!$B$10))</f>
        <v>0</v>
      </c>
      <c r="D27" s="236">
        <f>B27/((1+Inputs!$B$5)^(A27-Inputs!$B$10))</f>
        <v>0</v>
      </c>
    </row>
    <row r="28" spans="1:4" ht="12">
      <c r="A28" s="315">
        <f t="shared" si="0"/>
        <v>2043</v>
      </c>
      <c r="B28" s="234">
        <f>IF('Globalplex TEU'!C28=0,0,Inputs!$B$11)</f>
        <v>0</v>
      </c>
      <c r="C28" s="234">
        <f>B28/((1+Inputs!$B$6)^(A28-Inputs!$B$10))</f>
        <v>0</v>
      </c>
      <c r="D28" s="236">
        <f>B28/((1+Inputs!$B$5)^(A28-Inputs!$B$10))</f>
        <v>0</v>
      </c>
    </row>
    <row r="29" spans="1:4" ht="12">
      <c r="A29" s="315">
        <f t="shared" si="0"/>
        <v>2044</v>
      </c>
      <c r="B29" s="234">
        <f>IF('Globalplex TEU'!C29=0,0,Inputs!$B$11)</f>
        <v>0</v>
      </c>
      <c r="C29" s="234">
        <f>B29/((1+Inputs!$B$6)^(A29-Inputs!$B$10))</f>
        <v>0</v>
      </c>
      <c r="D29" s="236">
        <f>B29/((1+Inputs!$B$5)^(A29-Inputs!$B$10))</f>
        <v>0</v>
      </c>
    </row>
    <row r="30" spans="1:4" ht="12">
      <c r="A30" s="315">
        <f t="shared" si="0"/>
        <v>2045</v>
      </c>
      <c r="B30" s="234">
        <f>IF('Globalplex TEU'!C30=0,0,Inputs!$B$11)</f>
        <v>0</v>
      </c>
      <c r="C30" s="234">
        <f>B30/((1+Inputs!$B$6)^(A30-Inputs!$B$10))</f>
        <v>0</v>
      </c>
      <c r="D30" s="236">
        <f>B30/((1+Inputs!$B$5)^(A30-Inputs!$B$10))</f>
        <v>0</v>
      </c>
    </row>
    <row r="31" spans="1:4" ht="12">
      <c r="A31" s="315">
        <f t="shared" si="0"/>
        <v>2046</v>
      </c>
      <c r="B31" s="234">
        <f>IF('Globalplex TEU'!C31=0,0,Inputs!$B$11)</f>
        <v>0</v>
      </c>
      <c r="C31" s="234">
        <f>B31/((1+Inputs!$B$6)^(A31-Inputs!$B$10))</f>
        <v>0</v>
      </c>
      <c r="D31" s="236">
        <f>B31/((1+Inputs!$B$5)^(A31-Inputs!$B$10))</f>
        <v>0</v>
      </c>
    </row>
    <row r="32" spans="1:4" ht="12">
      <c r="A32" s="315">
        <f t="shared" si="0"/>
        <v>2047</v>
      </c>
      <c r="B32" s="234">
        <f>IF('Globalplex TEU'!C32=0,0,Inputs!$B$11)</f>
        <v>0</v>
      </c>
      <c r="C32" s="234">
        <f>B32/((1+Inputs!$B$6)^(A32-Inputs!$B$10))</f>
        <v>0</v>
      </c>
      <c r="D32" s="236">
        <f>B32/((1+Inputs!$B$5)^(A32-Inputs!$B$10))</f>
        <v>0</v>
      </c>
    </row>
    <row r="33" spans="1:4" ht="12">
      <c r="A33" s="315">
        <f t="shared" si="0"/>
        <v>2048</v>
      </c>
      <c r="B33" s="234">
        <f>IF('Globalplex TEU'!C33=0,0,Inputs!$B$11)</f>
        <v>0</v>
      </c>
      <c r="C33" s="234">
        <f>B33/((1+Inputs!$B$6)^(A33-Inputs!$B$10))</f>
        <v>0</v>
      </c>
      <c r="D33" s="236">
        <f>B33/((1+Inputs!$B$5)^(A33-Inputs!$B$10))</f>
        <v>0</v>
      </c>
    </row>
    <row r="34" spans="1:4" ht="12">
      <c r="A34" s="315">
        <f t="shared" si="0"/>
        <v>2049</v>
      </c>
      <c r="B34" s="234">
        <f>IF('Globalplex TEU'!C34=0,0,Inputs!$B$11)</f>
        <v>0</v>
      </c>
      <c r="C34" s="234">
        <f>B34/((1+Inputs!$B$6)^(A34-Inputs!$B$10))</f>
        <v>0</v>
      </c>
      <c r="D34" s="236">
        <f>B34/((1+Inputs!$B$5)^(A34-Inputs!$B$10))</f>
        <v>0</v>
      </c>
    </row>
    <row r="35" spans="1:4" ht="12">
      <c r="A35" s="315">
        <f t="shared" si="0"/>
        <v>2050</v>
      </c>
      <c r="B35" s="234">
        <f>IF('Globalplex TEU'!C35=0,0,Inputs!$B$11)</f>
        <v>0</v>
      </c>
      <c r="C35" s="234">
        <f>B35/((1+Inputs!$B$6)^(A35-Inputs!$B$10))</f>
        <v>0</v>
      </c>
      <c r="D35" s="236">
        <f>B35/((1+Inputs!$B$5)^(A35-Inputs!$B$10))</f>
        <v>0</v>
      </c>
    </row>
    <row r="36" spans="1:4" ht="12.75" thickBot="1">
      <c r="A36" s="350" t="s">
        <v>238</v>
      </c>
      <c r="B36" s="352">
        <f>SUM(B3:B35)</f>
        <v>0</v>
      </c>
      <c r="C36" s="352">
        <f>SUM(C3:C35)</f>
        <v>0</v>
      </c>
      <c r="D36" s="353">
        <f>SUM(D3:D35)</f>
        <v>0</v>
      </c>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2:V101"/>
  <sheetViews>
    <sheetView zoomScalePageLayoutView="0" workbookViewId="0" topLeftCell="A1">
      <selection activeCell="B9" sqref="B9"/>
    </sheetView>
  </sheetViews>
  <sheetFormatPr defaultColWidth="9.140625" defaultRowHeight="12.75"/>
  <cols>
    <col min="1" max="1" width="15.7109375" style="360" customWidth="1"/>
    <col min="2" max="2" width="32.00390625" style="361" customWidth="1"/>
    <col min="3" max="15" width="15.7109375" style="361" customWidth="1"/>
    <col min="16" max="21" width="12.7109375" style="361" customWidth="1"/>
    <col min="22" max="16384" width="9.140625" style="361" customWidth="1"/>
  </cols>
  <sheetData>
    <row r="1" ht="12.75" thickBot="1"/>
    <row r="2" spans="1:15" ht="24">
      <c r="A2" s="726" t="s">
        <v>89</v>
      </c>
      <c r="B2" s="727"/>
      <c r="C2" s="201" t="s">
        <v>138</v>
      </c>
      <c r="D2" s="201" t="s">
        <v>139</v>
      </c>
      <c r="E2" s="201" t="s">
        <v>140</v>
      </c>
      <c r="F2" s="201" t="s">
        <v>141</v>
      </c>
      <c r="G2" s="201" t="s">
        <v>256</v>
      </c>
      <c r="H2" s="201" t="s">
        <v>257</v>
      </c>
      <c r="I2" s="201" t="s">
        <v>258</v>
      </c>
      <c r="J2" s="201" t="s">
        <v>259</v>
      </c>
      <c r="K2" s="201" t="s">
        <v>260</v>
      </c>
      <c r="L2" s="201" t="s">
        <v>261</v>
      </c>
      <c r="M2" s="201" t="s">
        <v>262</v>
      </c>
      <c r="N2" s="201" t="s">
        <v>263</v>
      </c>
      <c r="O2" s="202" t="s">
        <v>7</v>
      </c>
    </row>
    <row r="3" spans="1:15" ht="12">
      <c r="A3" s="587" t="s">
        <v>237</v>
      </c>
      <c r="B3" s="362" t="s">
        <v>123</v>
      </c>
      <c r="C3" s="363">
        <f>Costs!D39/100</f>
        <v>0</v>
      </c>
      <c r="D3" s="364">
        <f>Costs!D40/100</f>
        <v>0</v>
      </c>
      <c r="E3" s="364">
        <f>Costs!D41/100</f>
        <v>0.1</v>
      </c>
      <c r="F3" s="364">
        <f>Costs!D42/100</f>
        <v>0.5</v>
      </c>
      <c r="G3" s="364">
        <f>Costs!D45/100</f>
        <v>0.4</v>
      </c>
      <c r="H3" s="364">
        <f>Costs!D46/100</f>
        <v>0</v>
      </c>
      <c r="I3" s="364">
        <f>Costs!D47/100</f>
        <v>0</v>
      </c>
      <c r="J3" s="364">
        <f>Costs!D48/100</f>
        <v>0</v>
      </c>
      <c r="K3" s="364"/>
      <c r="L3" s="364"/>
      <c r="M3" s="364"/>
      <c r="N3" s="364"/>
      <c r="O3" s="365">
        <f aca="true" t="shared" si="0" ref="O3:O8">SUM(C3:N3)</f>
        <v>1</v>
      </c>
    </row>
    <row r="4" spans="1:15" ht="12">
      <c r="A4" s="587"/>
      <c r="B4" s="362" t="s">
        <v>124</v>
      </c>
      <c r="C4" s="363">
        <f>Costs!G39/100</f>
        <v>0</v>
      </c>
      <c r="D4" s="364">
        <f>Costs!G40/100</f>
        <v>0</v>
      </c>
      <c r="E4" s="364">
        <f>Costs!G41/100</f>
        <v>0</v>
      </c>
      <c r="F4" s="364">
        <f>Costs!G42/100</f>
        <v>0</v>
      </c>
      <c r="G4" s="364">
        <f>Costs!G45/100</f>
        <v>0</v>
      </c>
      <c r="H4" s="364">
        <f>Costs!G46/100</f>
        <v>0.6</v>
      </c>
      <c r="I4" s="364">
        <f>Costs!G47/100</f>
        <v>0.4</v>
      </c>
      <c r="J4" s="364">
        <f>Costs!G48/100</f>
        <v>0</v>
      </c>
      <c r="K4" s="364"/>
      <c r="L4" s="364"/>
      <c r="M4" s="364"/>
      <c r="N4" s="364"/>
      <c r="O4" s="365">
        <f t="shared" si="0"/>
        <v>1</v>
      </c>
    </row>
    <row r="5" spans="1:15" ht="12">
      <c r="A5" s="587" t="s">
        <v>255</v>
      </c>
      <c r="B5" s="362" t="s">
        <v>137</v>
      </c>
      <c r="C5" s="363">
        <f>Costs!C39/100</f>
        <v>0</v>
      </c>
      <c r="D5" s="364">
        <f>Costs!C40/100</f>
        <v>0.5</v>
      </c>
      <c r="E5" s="364">
        <f>Costs!C41/100</f>
        <v>0.5</v>
      </c>
      <c r="F5" s="364">
        <f>Costs!C42/100</f>
        <v>0</v>
      </c>
      <c r="G5" s="364">
        <f>Costs!C45/100</f>
        <v>0</v>
      </c>
      <c r="H5" s="364">
        <f>Costs!C46/100</f>
        <v>0</v>
      </c>
      <c r="I5" s="364">
        <f>Costs!C47/100</f>
        <v>0</v>
      </c>
      <c r="J5" s="364">
        <f>Costs!C48/100</f>
        <v>0</v>
      </c>
      <c r="K5" s="364"/>
      <c r="L5" s="364"/>
      <c r="M5" s="364"/>
      <c r="N5" s="364"/>
      <c r="O5" s="365">
        <f t="shared" si="0"/>
        <v>1</v>
      </c>
    </row>
    <row r="6" spans="1:15" ht="12">
      <c r="A6" s="587"/>
      <c r="B6" s="362" t="s">
        <v>124</v>
      </c>
      <c r="C6" s="363">
        <f>Costs!F39/100</f>
        <v>0</v>
      </c>
      <c r="D6" s="364">
        <f>Costs!F40/100</f>
        <v>0</v>
      </c>
      <c r="E6" s="364">
        <f>Costs!F41/100</f>
        <v>0</v>
      </c>
      <c r="F6" s="364">
        <f>Costs!F42/100</f>
        <v>0.6</v>
      </c>
      <c r="G6" s="364">
        <f>Costs!F45/100</f>
        <v>0.4</v>
      </c>
      <c r="H6" s="364">
        <f>Costs!F46/100</f>
        <v>0</v>
      </c>
      <c r="I6" s="364">
        <f>Costs!F47/100</f>
        <v>0</v>
      </c>
      <c r="J6" s="364">
        <f>Costs!F48/100</f>
        <v>0</v>
      </c>
      <c r="K6" s="364"/>
      <c r="L6" s="364"/>
      <c r="M6" s="364"/>
      <c r="N6" s="364"/>
      <c r="O6" s="365">
        <f t="shared" si="0"/>
        <v>1</v>
      </c>
    </row>
    <row r="7" spans="1:15" ht="12">
      <c r="A7" s="587" t="s">
        <v>62</v>
      </c>
      <c r="B7" s="362" t="s">
        <v>123</v>
      </c>
      <c r="C7" s="363">
        <f>Costs!B39/100</f>
        <v>0</v>
      </c>
      <c r="D7" s="364">
        <f>Costs!B40/100</f>
        <v>0.5</v>
      </c>
      <c r="E7" s="364">
        <f>Costs!B41/100</f>
        <v>0.5</v>
      </c>
      <c r="F7" s="364">
        <f>Costs!B42/100</f>
        <v>0</v>
      </c>
      <c r="G7" s="364">
        <f>Costs!B45/100</f>
        <v>0</v>
      </c>
      <c r="H7" s="364">
        <f>Costs!B46/100</f>
        <v>0</v>
      </c>
      <c r="I7" s="364">
        <f>Costs!B47/100</f>
        <v>0</v>
      </c>
      <c r="J7" s="364">
        <f>Costs!B48/100</f>
        <v>0</v>
      </c>
      <c r="K7" s="364"/>
      <c r="L7" s="364"/>
      <c r="M7" s="364"/>
      <c r="N7" s="364"/>
      <c r="O7" s="365">
        <f t="shared" si="0"/>
        <v>1</v>
      </c>
    </row>
    <row r="8" spans="1:15" ht="12.75" thickBot="1">
      <c r="A8" s="728"/>
      <c r="B8" s="208" t="s">
        <v>124</v>
      </c>
      <c r="C8" s="363">
        <f>Costs!E39/100</f>
        <v>0</v>
      </c>
      <c r="D8" s="364">
        <f>Costs!E40/100</f>
        <v>0</v>
      </c>
      <c r="E8" s="364">
        <f>Costs!E41/100</f>
        <v>0</v>
      </c>
      <c r="F8" s="364">
        <f>Costs!E42/100</f>
        <v>0.6</v>
      </c>
      <c r="G8" s="364">
        <f>Costs!E45/100</f>
        <v>0.4</v>
      </c>
      <c r="H8" s="364">
        <f>Costs!E46/100</f>
        <v>0</v>
      </c>
      <c r="I8" s="364">
        <f>Costs!E47/100</f>
        <v>0</v>
      </c>
      <c r="J8" s="364">
        <f>Costs!E48/100</f>
        <v>0</v>
      </c>
      <c r="K8" s="167"/>
      <c r="L8" s="167"/>
      <c r="M8" s="167"/>
      <c r="N8" s="167"/>
      <c r="O8" s="366">
        <f t="shared" si="0"/>
        <v>1</v>
      </c>
    </row>
    <row r="9" spans="1:15" s="371" customFormat="1" ht="12.75" thickBot="1">
      <c r="A9" s="367"/>
      <c r="B9" s="368"/>
      <c r="C9" s="369"/>
      <c r="D9" s="369"/>
      <c r="E9" s="369"/>
      <c r="F9" s="369"/>
      <c r="G9" s="369"/>
      <c r="H9" s="369"/>
      <c r="I9" s="369"/>
      <c r="J9" s="369"/>
      <c r="K9" s="369"/>
      <c r="L9" s="369"/>
      <c r="M9" s="369"/>
      <c r="N9" s="369"/>
      <c r="O9" s="370"/>
    </row>
    <row r="10" spans="1:15" ht="24">
      <c r="A10" s="726" t="s">
        <v>89</v>
      </c>
      <c r="B10" s="727"/>
      <c r="C10" s="201" t="s">
        <v>138</v>
      </c>
      <c r="D10" s="201" t="s">
        <v>139</v>
      </c>
      <c r="E10" s="201" t="s">
        <v>140</v>
      </c>
      <c r="F10" s="201" t="s">
        <v>141</v>
      </c>
      <c r="G10" s="201" t="s">
        <v>256</v>
      </c>
      <c r="H10" s="201" t="s">
        <v>257</v>
      </c>
      <c r="I10" s="201" t="s">
        <v>258</v>
      </c>
      <c r="J10" s="201" t="s">
        <v>259</v>
      </c>
      <c r="K10" s="201" t="s">
        <v>260</v>
      </c>
      <c r="L10" s="201" t="s">
        <v>261</v>
      </c>
      <c r="M10" s="201" t="s">
        <v>262</v>
      </c>
      <c r="N10" s="201" t="s">
        <v>263</v>
      </c>
      <c r="O10" s="202" t="s">
        <v>7</v>
      </c>
    </row>
    <row r="11" spans="1:15" ht="12">
      <c r="A11" s="587" t="s">
        <v>237</v>
      </c>
      <c r="B11" s="362" t="s">
        <v>123</v>
      </c>
      <c r="C11" s="372">
        <f>'Cost Estimates'!$F$40*'Capital Expenditure'!C3</f>
        <v>0</v>
      </c>
      <c r="D11" s="373">
        <f>'Cost Estimates'!$F$40*'Capital Expenditure'!D3</f>
        <v>0</v>
      </c>
      <c r="E11" s="373">
        <f>'Cost Estimates'!$F$40*'Capital Expenditure'!E3</f>
        <v>53385.5</v>
      </c>
      <c r="F11" s="373">
        <f>'Cost Estimates'!$F$40*'Capital Expenditure'!F3</f>
        <v>266927.5</v>
      </c>
      <c r="G11" s="373">
        <f>'Cost Estimates'!$F$40*'Capital Expenditure'!G3</f>
        <v>213542</v>
      </c>
      <c r="H11" s="373">
        <f>'Cost Estimates'!$F$40*'Capital Expenditure'!H3</f>
        <v>0</v>
      </c>
      <c r="I11" s="373">
        <f>'Cost Estimates'!$F$40*'Capital Expenditure'!I3</f>
        <v>0</v>
      </c>
      <c r="J11" s="373">
        <f>'Cost Estimates'!$F$40*'Capital Expenditure'!J3</f>
        <v>0</v>
      </c>
      <c r="K11" s="373">
        <f>'Cost Estimates'!$F$40*'Capital Expenditure'!K3</f>
        <v>0</v>
      </c>
      <c r="L11" s="373">
        <f>'Cost Estimates'!$F$40*'Capital Expenditure'!L3</f>
        <v>0</v>
      </c>
      <c r="M11" s="373">
        <f>'Cost Estimates'!$F$40*'Capital Expenditure'!M3</f>
        <v>0</v>
      </c>
      <c r="N11" s="373">
        <f>'Cost Estimates'!$F$40*'Capital Expenditure'!N3</f>
        <v>0</v>
      </c>
      <c r="O11" s="374">
        <f aca="true" t="shared" si="1" ref="O11:O16">SUM(C11:N11)</f>
        <v>533855</v>
      </c>
    </row>
    <row r="12" spans="1:15" ht="12">
      <c r="A12" s="587"/>
      <c r="B12" s="362" t="s">
        <v>124</v>
      </c>
      <c r="C12" s="372">
        <f>'Cost Estimates'!$F$39*'Capital Expenditure'!C4</f>
        <v>0</v>
      </c>
      <c r="D12" s="373">
        <f>'Cost Estimates'!$F$39*'Capital Expenditure'!D4</f>
        <v>0</v>
      </c>
      <c r="E12" s="373">
        <f>'Cost Estimates'!$F$39*'Capital Expenditure'!E4</f>
        <v>0</v>
      </c>
      <c r="F12" s="373">
        <f>'Cost Estimates'!$F$39*'Capital Expenditure'!F4</f>
        <v>0</v>
      </c>
      <c r="G12" s="373">
        <f>'Cost Estimates'!$F$39*'Capital Expenditure'!G4</f>
        <v>0</v>
      </c>
      <c r="H12" s="373">
        <f>'Cost Estimates'!$F$39*'Capital Expenditure'!H4</f>
        <v>3203130</v>
      </c>
      <c r="I12" s="373">
        <f>'Cost Estimates'!$F$39*'Capital Expenditure'!I4</f>
        <v>2135420</v>
      </c>
      <c r="J12" s="373">
        <f>'Cost Estimates'!$F$39*'Capital Expenditure'!J4</f>
        <v>0</v>
      </c>
      <c r="K12" s="373">
        <f>'Cost Estimates'!$F$39*'Capital Expenditure'!K4</f>
        <v>0</v>
      </c>
      <c r="L12" s="373">
        <f>'Cost Estimates'!$F$39*'Capital Expenditure'!L4</f>
        <v>0</v>
      </c>
      <c r="M12" s="373">
        <f>'Cost Estimates'!$F$39*'Capital Expenditure'!M4</f>
        <v>0</v>
      </c>
      <c r="N12" s="373">
        <f>'Cost Estimates'!$F$39*'Capital Expenditure'!N4</f>
        <v>0</v>
      </c>
      <c r="O12" s="374">
        <f t="shared" si="1"/>
        <v>5338550</v>
      </c>
    </row>
    <row r="13" spans="1:15" ht="12">
      <c r="A13" s="587" t="s">
        <v>255</v>
      </c>
      <c r="B13" s="362" t="s">
        <v>137</v>
      </c>
      <c r="C13" s="372">
        <f>'Cost Estimates'!$F$31*'Capital Expenditure'!C5</f>
        <v>0</v>
      </c>
      <c r="D13" s="373">
        <f>'Cost Estimates'!$F$31*'Capital Expenditure'!D5</f>
        <v>583500</v>
      </c>
      <c r="E13" s="373">
        <f>'Cost Estimates'!$F$31*'Capital Expenditure'!E5</f>
        <v>583500</v>
      </c>
      <c r="F13" s="373">
        <f>'Cost Estimates'!$F$31*'Capital Expenditure'!F5</f>
        <v>0</v>
      </c>
      <c r="G13" s="373">
        <f>'Cost Estimates'!$F$31*'Capital Expenditure'!G5</f>
        <v>0</v>
      </c>
      <c r="H13" s="373">
        <f>'Cost Estimates'!$F$31*'Capital Expenditure'!H5</f>
        <v>0</v>
      </c>
      <c r="I13" s="373">
        <f>'Cost Estimates'!$F$31*'Capital Expenditure'!I5</f>
        <v>0</v>
      </c>
      <c r="J13" s="373">
        <f>'Cost Estimates'!$F$31*'Capital Expenditure'!J5</f>
        <v>0</v>
      </c>
      <c r="K13" s="373">
        <f>'Cost Estimates'!$F$31*'Capital Expenditure'!K5</f>
        <v>0</v>
      </c>
      <c r="L13" s="373">
        <f>'Cost Estimates'!$F$31*'Capital Expenditure'!L5</f>
        <v>0</v>
      </c>
      <c r="M13" s="373">
        <f>'Cost Estimates'!$F$31*'Capital Expenditure'!M5</f>
        <v>0</v>
      </c>
      <c r="N13" s="373">
        <f>'Cost Estimates'!$F$31*'Capital Expenditure'!N5</f>
        <v>0</v>
      </c>
      <c r="O13" s="374">
        <f t="shared" si="1"/>
        <v>1167000</v>
      </c>
    </row>
    <row r="14" spans="1:15" ht="12">
      <c r="A14" s="587"/>
      <c r="B14" s="362" t="s">
        <v>124</v>
      </c>
      <c r="C14" s="372">
        <f>'Cost Estimates'!$F$30*'Capital Expenditure'!C6</f>
        <v>0</v>
      </c>
      <c r="D14" s="373">
        <f>'Cost Estimates'!$F$30*'Capital Expenditure'!D6</f>
        <v>0</v>
      </c>
      <c r="E14" s="373">
        <f>'Cost Estimates'!$F$30*'Capital Expenditure'!E6</f>
        <v>0</v>
      </c>
      <c r="F14" s="373">
        <f>'Cost Estimates'!$F$30*'Capital Expenditure'!F6</f>
        <v>5835000</v>
      </c>
      <c r="G14" s="373">
        <f>'Cost Estimates'!$F$30*'Capital Expenditure'!G6</f>
        <v>3890000</v>
      </c>
      <c r="H14" s="373">
        <f>'Cost Estimates'!$F$30*'Capital Expenditure'!H6</f>
        <v>0</v>
      </c>
      <c r="I14" s="373">
        <f>'Cost Estimates'!$F$30*'Capital Expenditure'!I6</f>
        <v>0</v>
      </c>
      <c r="J14" s="373">
        <f>'Cost Estimates'!$F$30*'Capital Expenditure'!J6</f>
        <v>0</v>
      </c>
      <c r="K14" s="373">
        <f>'Cost Estimates'!$F$30*'Capital Expenditure'!K6</f>
        <v>0</v>
      </c>
      <c r="L14" s="373">
        <f>'Cost Estimates'!$F$30*'Capital Expenditure'!L6</f>
        <v>0</v>
      </c>
      <c r="M14" s="373">
        <f>'Cost Estimates'!$F$30*'Capital Expenditure'!M6</f>
        <v>0</v>
      </c>
      <c r="N14" s="373">
        <f>'Cost Estimates'!$F$30*'Capital Expenditure'!N6</f>
        <v>0</v>
      </c>
      <c r="O14" s="374">
        <f t="shared" si="1"/>
        <v>9725000</v>
      </c>
    </row>
    <row r="15" spans="1:15" ht="12">
      <c r="A15" s="587" t="s">
        <v>62</v>
      </c>
      <c r="B15" s="362" t="s">
        <v>123</v>
      </c>
      <c r="C15" s="372">
        <f>'Cost Estimates'!$F$21*'Capital Expenditure'!C7</f>
        <v>0</v>
      </c>
      <c r="D15" s="373">
        <f>'Cost Estimates'!$F$21*'Capital Expenditure'!D7</f>
        <v>536700</v>
      </c>
      <c r="E15" s="373">
        <f>'Cost Estimates'!$F$21*'Capital Expenditure'!E7</f>
        <v>536700</v>
      </c>
      <c r="F15" s="373">
        <f>'Cost Estimates'!$F$21*'Capital Expenditure'!F7</f>
        <v>0</v>
      </c>
      <c r="G15" s="373">
        <f>'Cost Estimates'!$F$21*'Capital Expenditure'!G7</f>
        <v>0</v>
      </c>
      <c r="H15" s="373">
        <f>'Cost Estimates'!$F$21*'Capital Expenditure'!H7</f>
        <v>0</v>
      </c>
      <c r="I15" s="373">
        <f>'Cost Estimates'!$F$21*'Capital Expenditure'!I7</f>
        <v>0</v>
      </c>
      <c r="J15" s="373">
        <f>'Cost Estimates'!$F$21*'Capital Expenditure'!J7</f>
        <v>0</v>
      </c>
      <c r="K15" s="373">
        <f>'Cost Estimates'!$F$21*'Capital Expenditure'!K7</f>
        <v>0</v>
      </c>
      <c r="L15" s="373">
        <f>'Cost Estimates'!$F$21*'Capital Expenditure'!L7</f>
        <v>0</v>
      </c>
      <c r="M15" s="373">
        <f>'Cost Estimates'!$F$21*'Capital Expenditure'!M7</f>
        <v>0</v>
      </c>
      <c r="N15" s="373">
        <f>'Cost Estimates'!$F$21*'Capital Expenditure'!N7</f>
        <v>0</v>
      </c>
      <c r="O15" s="374">
        <f t="shared" si="1"/>
        <v>1073400</v>
      </c>
    </row>
    <row r="16" spans="1:15" ht="12">
      <c r="A16" s="587"/>
      <c r="B16" s="362" t="s">
        <v>124</v>
      </c>
      <c r="C16" s="372">
        <f>'Cost Estimates'!$F$20*'Capital Expenditure'!C8</f>
        <v>0</v>
      </c>
      <c r="D16" s="373">
        <f>'Cost Estimates'!$F$20*'Capital Expenditure'!D8</f>
        <v>0</v>
      </c>
      <c r="E16" s="373">
        <f>'Cost Estimates'!$F$20*'Capital Expenditure'!E8</f>
        <v>0</v>
      </c>
      <c r="F16" s="373">
        <f>'Cost Estimates'!$F$20*'Capital Expenditure'!F8</f>
        <v>5374200</v>
      </c>
      <c r="G16" s="373">
        <f>'Cost Estimates'!$F$20*'Capital Expenditure'!G8</f>
        <v>3582800</v>
      </c>
      <c r="H16" s="373">
        <f>'Cost Estimates'!$F$20*'Capital Expenditure'!H8</f>
        <v>0</v>
      </c>
      <c r="I16" s="373">
        <f>'Cost Estimates'!$F$20*'Capital Expenditure'!I8</f>
        <v>0</v>
      </c>
      <c r="J16" s="373">
        <f>'Cost Estimates'!$F$20*'Capital Expenditure'!J8</f>
        <v>0</v>
      </c>
      <c r="K16" s="373">
        <f>'Cost Estimates'!$F$20*'Capital Expenditure'!K8</f>
        <v>0</v>
      </c>
      <c r="L16" s="373">
        <f>'Cost Estimates'!$F$20*'Capital Expenditure'!L8</f>
        <v>0</v>
      </c>
      <c r="M16" s="373">
        <f>'Cost Estimates'!$F$20*'Capital Expenditure'!M8</f>
        <v>0</v>
      </c>
      <c r="N16" s="373">
        <f>'Cost Estimates'!$F$20*'Capital Expenditure'!N8</f>
        <v>0</v>
      </c>
      <c r="O16" s="374">
        <f t="shared" si="1"/>
        <v>8957000</v>
      </c>
    </row>
    <row r="17" spans="1:15" ht="12.75" thickBot="1">
      <c r="A17" s="724" t="s">
        <v>7</v>
      </c>
      <c r="B17" s="725"/>
      <c r="C17" s="375">
        <f>SUM(C11:C16)</f>
        <v>0</v>
      </c>
      <c r="D17" s="376">
        <f aca="true" t="shared" si="2" ref="D17:O17">SUM(D11:D16)</f>
        <v>1120200</v>
      </c>
      <c r="E17" s="376">
        <f t="shared" si="2"/>
        <v>1173585.5</v>
      </c>
      <c r="F17" s="376">
        <f t="shared" si="2"/>
        <v>11476127.5</v>
      </c>
      <c r="G17" s="376">
        <f t="shared" si="2"/>
        <v>7686342</v>
      </c>
      <c r="H17" s="376">
        <f t="shared" si="2"/>
        <v>3203130</v>
      </c>
      <c r="I17" s="376">
        <f t="shared" si="2"/>
        <v>2135420</v>
      </c>
      <c r="J17" s="376">
        <f t="shared" si="2"/>
        <v>0</v>
      </c>
      <c r="K17" s="376">
        <f t="shared" si="2"/>
        <v>0</v>
      </c>
      <c r="L17" s="376">
        <f t="shared" si="2"/>
        <v>0</v>
      </c>
      <c r="M17" s="376">
        <f t="shared" si="2"/>
        <v>0</v>
      </c>
      <c r="N17" s="376">
        <f t="shared" si="2"/>
        <v>0</v>
      </c>
      <c r="O17" s="377">
        <f t="shared" si="2"/>
        <v>26794805</v>
      </c>
    </row>
    <row r="18" spans="2:6" ht="12">
      <c r="B18" s="378"/>
      <c r="C18" s="379"/>
      <c r="D18" s="379"/>
      <c r="E18" s="379"/>
      <c r="F18" s="379"/>
    </row>
    <row r="19" spans="2:21" ht="12">
      <c r="B19" s="378"/>
      <c r="C19" s="380"/>
      <c r="D19" s="380"/>
      <c r="E19" s="380"/>
      <c r="F19" s="380"/>
      <c r="K19" s="371"/>
      <c r="N19" s="109"/>
      <c r="O19" s="109"/>
      <c r="P19" s="109"/>
      <c r="Q19" s="109"/>
      <c r="R19" s="109"/>
      <c r="S19" s="109"/>
      <c r="T19" s="109"/>
      <c r="U19" s="109"/>
    </row>
    <row r="20" spans="2:21" ht="13.5" customHeight="1">
      <c r="B20" s="713" t="s">
        <v>169</v>
      </c>
      <c r="C20" s="714"/>
      <c r="D20" s="714"/>
      <c r="E20" s="714"/>
      <c r="F20" s="714"/>
      <c r="G20" s="714"/>
      <c r="H20" s="381"/>
      <c r="I20" s="381"/>
      <c r="J20" s="381"/>
      <c r="K20" s="381"/>
      <c r="L20" s="381"/>
      <c r="M20" s="381"/>
      <c r="N20" s="723"/>
      <c r="O20" s="723"/>
      <c r="P20" s="723"/>
      <c r="Q20" s="723"/>
      <c r="R20" s="723"/>
      <c r="S20" s="723"/>
      <c r="T20" s="723"/>
      <c r="U20" s="723"/>
    </row>
    <row r="21" spans="2:21" ht="24.75" customHeight="1">
      <c r="B21" s="382"/>
      <c r="C21" s="709" t="s">
        <v>168</v>
      </c>
      <c r="D21" s="709"/>
      <c r="E21" s="709"/>
      <c r="F21" s="709"/>
      <c r="G21" s="709"/>
      <c r="N21" s="381"/>
      <c r="O21" s="723"/>
      <c r="P21" s="723"/>
      <c r="Q21" s="723"/>
      <c r="R21" s="723"/>
      <c r="S21" s="723"/>
      <c r="T21" s="723"/>
      <c r="U21" s="723"/>
    </row>
    <row r="22" spans="2:21" ht="12">
      <c r="B22" s="383" t="s">
        <v>152</v>
      </c>
      <c r="C22" s="715" t="s">
        <v>153</v>
      </c>
      <c r="D22" s="715"/>
      <c r="E22" s="715" t="s">
        <v>154</v>
      </c>
      <c r="F22" s="715"/>
      <c r="G22" s="384" t="s">
        <v>0</v>
      </c>
      <c r="N22" s="381"/>
      <c r="O22" s="723"/>
      <c r="P22" s="723"/>
      <c r="Q22" s="723"/>
      <c r="R22" s="723"/>
      <c r="S22" s="723"/>
      <c r="T22" s="723"/>
      <c r="U22" s="394"/>
    </row>
    <row r="23" spans="2:21" ht="12">
      <c r="B23" s="383"/>
      <c r="C23" s="384" t="s">
        <v>155</v>
      </c>
      <c r="D23" s="384" t="s">
        <v>156</v>
      </c>
      <c r="E23" s="384" t="s">
        <v>155</v>
      </c>
      <c r="F23" s="384" t="s">
        <v>156</v>
      </c>
      <c r="G23" s="384" t="s">
        <v>155</v>
      </c>
      <c r="N23" s="381"/>
      <c r="O23" s="394"/>
      <c r="P23" s="394"/>
      <c r="Q23" s="394"/>
      <c r="R23" s="394"/>
      <c r="S23" s="394"/>
      <c r="T23" s="394"/>
      <c r="U23" s="394"/>
    </row>
    <row r="24" spans="2:21" ht="12">
      <c r="B24" s="385" t="s">
        <v>123</v>
      </c>
      <c r="C24" s="392">
        <f>G24-E24</f>
        <v>1618255.7</v>
      </c>
      <c r="D24" s="451">
        <f>C24/G24</f>
        <v>0.5833118080349499</v>
      </c>
      <c r="E24" s="235">
        <f>(F49*0.1)+(F50*0.1)</f>
        <v>1155999.3</v>
      </c>
      <c r="F24" s="451">
        <f>E24/G24</f>
        <v>0.4166881919650501</v>
      </c>
      <c r="G24" s="386">
        <f>O11+O13+O15</f>
        <v>2774255</v>
      </c>
      <c r="N24" s="395"/>
      <c r="O24" s="396"/>
      <c r="P24" s="397"/>
      <c r="Q24" s="396"/>
      <c r="R24" s="397"/>
      <c r="S24" s="396"/>
      <c r="T24" s="397"/>
      <c r="U24" s="396"/>
    </row>
    <row r="25" spans="2:21" ht="12">
      <c r="B25" s="385" t="s">
        <v>237</v>
      </c>
      <c r="C25" s="392">
        <f>G25-E25</f>
        <v>2770378.4</v>
      </c>
      <c r="D25" s="451">
        <f>C25/G25</f>
        <v>0.5189383634132864</v>
      </c>
      <c r="E25" s="235">
        <f>F49*0.9</f>
        <v>2568171.6</v>
      </c>
      <c r="F25" s="451">
        <f>E25/G25</f>
        <v>0.48106163658671364</v>
      </c>
      <c r="G25" s="386">
        <f>O12</f>
        <v>5338550</v>
      </c>
      <c r="N25" s="395"/>
      <c r="O25" s="396"/>
      <c r="P25" s="397"/>
      <c r="Q25" s="396"/>
      <c r="R25" s="397"/>
      <c r="S25" s="396"/>
      <c r="T25" s="397"/>
      <c r="U25" s="396"/>
    </row>
    <row r="26" spans="2:21" ht="12">
      <c r="B26" s="385" t="s">
        <v>236</v>
      </c>
      <c r="C26" s="392">
        <f>G26-E26</f>
        <v>9725000</v>
      </c>
      <c r="D26" s="451">
        <f>C26/G26</f>
        <v>1</v>
      </c>
      <c r="E26" s="235">
        <v>0</v>
      </c>
      <c r="F26" s="451">
        <f>E26/G26</f>
        <v>0</v>
      </c>
      <c r="G26" s="386">
        <f>O14</f>
        <v>9725000</v>
      </c>
      <c r="N26" s="395"/>
      <c r="O26" s="396"/>
      <c r="P26" s="397"/>
      <c r="Q26" s="396"/>
      <c r="R26" s="397"/>
      <c r="S26" s="396"/>
      <c r="T26" s="397"/>
      <c r="U26" s="396"/>
    </row>
    <row r="27" spans="2:21" ht="12">
      <c r="B27" s="385" t="s">
        <v>62</v>
      </c>
      <c r="C27" s="392">
        <f>G27-E27</f>
        <v>1121177.8999999994</v>
      </c>
      <c r="D27" s="451">
        <f>C27/G27</f>
        <v>0.12517337278106502</v>
      </c>
      <c r="E27" s="432">
        <f>F50*0.9</f>
        <v>7835822.100000001</v>
      </c>
      <c r="F27" s="451">
        <f>E27/G27</f>
        <v>0.874826627218935</v>
      </c>
      <c r="G27" s="386">
        <f>O16</f>
        <v>8957000</v>
      </c>
      <c r="N27" s="395"/>
      <c r="O27" s="396"/>
      <c r="P27" s="397"/>
      <c r="Q27" s="396"/>
      <c r="R27" s="397"/>
      <c r="S27" s="396"/>
      <c r="T27" s="397"/>
      <c r="U27" s="396"/>
    </row>
    <row r="28" spans="2:21" ht="12">
      <c r="B28" s="387" t="s">
        <v>7</v>
      </c>
      <c r="C28" s="393">
        <f>SUM(C24:C27)</f>
        <v>15234812</v>
      </c>
      <c r="D28" s="452">
        <f>C28/G28</f>
        <v>0.5685733484531796</v>
      </c>
      <c r="E28" s="495">
        <f>SUM(E24:E27)</f>
        <v>11559993</v>
      </c>
      <c r="F28" s="452">
        <f>E28/G28</f>
        <v>0.43142665154682036</v>
      </c>
      <c r="G28" s="388">
        <f>SUM(G24:G27)</f>
        <v>26794805</v>
      </c>
      <c r="N28" s="398"/>
      <c r="O28" s="399"/>
      <c r="P28" s="400"/>
      <c r="Q28" s="399"/>
      <c r="R28" s="400"/>
      <c r="S28" s="399"/>
      <c r="T28" s="400"/>
      <c r="U28" s="399"/>
    </row>
    <row r="29" spans="14:21" ht="12">
      <c r="N29" s="109"/>
      <c r="O29" s="109"/>
      <c r="P29" s="109"/>
      <c r="Q29" s="109"/>
      <c r="R29" s="109"/>
      <c r="S29" s="109"/>
      <c r="T29" s="109"/>
      <c r="U29" s="109"/>
    </row>
    <row r="30" spans="10:21" ht="12.75" thickBot="1">
      <c r="J30" s="389"/>
      <c r="N30" s="109"/>
      <c r="O30" s="109"/>
      <c r="P30" s="109"/>
      <c r="Q30" s="109"/>
      <c r="R30" s="109"/>
      <c r="S30" s="109"/>
      <c r="T30" s="109"/>
      <c r="U30" s="109"/>
    </row>
    <row r="31" spans="2:21" ht="13.5" customHeight="1">
      <c r="B31" s="716" t="s">
        <v>431</v>
      </c>
      <c r="C31" s="717"/>
      <c r="D31" s="717"/>
      <c r="E31" s="717"/>
      <c r="F31" s="718"/>
      <c r="G31" s="448"/>
      <c r="H31" s="448"/>
      <c r="N31" s="109"/>
      <c r="O31" s="109"/>
      <c r="P31" s="109"/>
      <c r="Q31" s="109"/>
      <c r="R31" s="109"/>
      <c r="S31" s="109"/>
      <c r="T31" s="109"/>
      <c r="U31" s="109"/>
    </row>
    <row r="32" spans="2:21" ht="12">
      <c r="B32" s="719" t="s">
        <v>157</v>
      </c>
      <c r="C32" s="390" t="s">
        <v>158</v>
      </c>
      <c r="D32" s="720" t="s">
        <v>124</v>
      </c>
      <c r="E32" s="720" t="s">
        <v>160</v>
      </c>
      <c r="F32" s="721" t="s">
        <v>161</v>
      </c>
      <c r="G32" s="722"/>
      <c r="H32" s="722"/>
      <c r="L32" s="389"/>
      <c r="N32" s="109"/>
      <c r="O32" s="109"/>
      <c r="P32" s="109"/>
      <c r="Q32" s="109"/>
      <c r="R32" s="109"/>
      <c r="S32" s="109"/>
      <c r="T32" s="109"/>
      <c r="U32" s="109"/>
    </row>
    <row r="33" spans="2:21" ht="12">
      <c r="B33" s="719"/>
      <c r="C33" s="390" t="s">
        <v>159</v>
      </c>
      <c r="D33" s="720"/>
      <c r="E33" s="720"/>
      <c r="F33" s="721"/>
      <c r="G33" s="722"/>
      <c r="H33" s="722"/>
      <c r="N33" s="109"/>
      <c r="O33" s="109"/>
      <c r="P33" s="109"/>
      <c r="Q33" s="109"/>
      <c r="R33" s="109"/>
      <c r="S33" s="109"/>
      <c r="T33" s="109"/>
      <c r="U33" s="109"/>
    </row>
    <row r="34" spans="2:21" ht="15" customHeight="1">
      <c r="B34" s="449" t="s">
        <v>162</v>
      </c>
      <c r="C34" s="453">
        <f>C36-C35</f>
        <v>1490855</v>
      </c>
      <c r="D34" s="453">
        <f>D36-D35</f>
        <v>13743957</v>
      </c>
      <c r="E34" s="453">
        <f>SUM(C34:D34)</f>
        <v>15234812</v>
      </c>
      <c r="F34" s="454">
        <f>E34/E36</f>
        <v>0.5685733484531796</v>
      </c>
      <c r="G34" s="444"/>
      <c r="H34" s="445"/>
      <c r="N34" s="109"/>
      <c r="O34" s="109"/>
      <c r="P34" s="109"/>
      <c r="Q34" s="109"/>
      <c r="R34" s="109"/>
      <c r="S34" s="109"/>
      <c r="T34" s="109"/>
      <c r="U34" s="109"/>
    </row>
    <row r="35" spans="2:12" ht="15" customHeight="1">
      <c r="B35" s="449" t="s">
        <v>461</v>
      </c>
      <c r="C35" s="453">
        <f>973400+310000</f>
        <v>1283400</v>
      </c>
      <c r="D35" s="453">
        <f>F51-C35</f>
        <v>10276593</v>
      </c>
      <c r="E35" s="453">
        <f>SUM(C35:D35)</f>
        <v>11559993</v>
      </c>
      <c r="F35" s="454">
        <f>E35/E36</f>
        <v>0.43142665154682036</v>
      </c>
      <c r="G35" s="109"/>
      <c r="H35" s="445"/>
      <c r="K35" s="389"/>
      <c r="L35" s="379"/>
    </row>
    <row r="36" spans="2:8" ht="12.75" thickBot="1">
      <c r="B36" s="450" t="s">
        <v>163</v>
      </c>
      <c r="C36" s="455">
        <f>G24</f>
        <v>2774255</v>
      </c>
      <c r="D36" s="455">
        <f>SUM(G25:G27)</f>
        <v>24020550</v>
      </c>
      <c r="E36" s="455">
        <f>SUM(C36:D36)</f>
        <v>26794805</v>
      </c>
      <c r="F36" s="456">
        <f>E36/E36</f>
        <v>1</v>
      </c>
      <c r="G36" s="446"/>
      <c r="H36" s="447"/>
    </row>
    <row r="37" ht="12">
      <c r="F37" s="109"/>
    </row>
    <row r="38" spans="2:6" ht="12" customHeight="1">
      <c r="B38" s="709" t="s">
        <v>170</v>
      </c>
      <c r="C38" s="709"/>
      <c r="D38" s="709"/>
      <c r="E38" s="709"/>
      <c r="F38" s="381"/>
    </row>
    <row r="39" spans="2:9" ht="12">
      <c r="B39" s="383" t="s">
        <v>164</v>
      </c>
      <c r="C39" s="384">
        <v>2019</v>
      </c>
      <c r="D39" s="384">
        <v>2020</v>
      </c>
      <c r="E39" s="384" t="s">
        <v>165</v>
      </c>
      <c r="I39" s="391"/>
    </row>
    <row r="40" spans="2:10" ht="12">
      <c r="B40" s="385" t="s">
        <v>166</v>
      </c>
      <c r="C40" s="386">
        <f>SUM(C11:F11)+SUM(C13:F13)+SUM(C15:F15)</f>
        <v>2560713</v>
      </c>
      <c r="D40" s="386">
        <f>SUM(G11:J11)+SUM(G13:J13)+SUM(G15:J15)</f>
        <v>213542</v>
      </c>
      <c r="E40" s="386">
        <f>SUM(C40:D40)</f>
        <v>2774255</v>
      </c>
      <c r="F40" s="379"/>
      <c r="I40" s="391"/>
      <c r="J40" s="389"/>
    </row>
    <row r="41" spans="2:6" ht="12">
      <c r="B41" s="385" t="s">
        <v>237</v>
      </c>
      <c r="C41" s="386">
        <f>SUM(C12:F12)</f>
        <v>0</v>
      </c>
      <c r="D41" s="386">
        <f>SUM(G12:J12)</f>
        <v>5338550</v>
      </c>
      <c r="E41" s="386">
        <f>SUM(C41:D41)</f>
        <v>5338550</v>
      </c>
      <c r="F41" s="389"/>
    </row>
    <row r="42" spans="2:5" ht="12">
      <c r="B42" s="385" t="s">
        <v>236</v>
      </c>
      <c r="C42" s="386">
        <f>SUM(C14:F14)</f>
        <v>5835000</v>
      </c>
      <c r="D42" s="386">
        <f>SUM(G14:J14)</f>
        <v>3890000</v>
      </c>
      <c r="E42" s="386">
        <f>SUM(C42:D42)</f>
        <v>9725000</v>
      </c>
    </row>
    <row r="43" spans="2:7" ht="12">
      <c r="B43" s="385" t="s">
        <v>62</v>
      </c>
      <c r="C43" s="386">
        <f>SUM(C16:F16)</f>
        <v>5374200</v>
      </c>
      <c r="D43" s="386">
        <f>SUM(G15:J16)</f>
        <v>3582800</v>
      </c>
      <c r="E43" s="386">
        <f>SUM(C43:D43)</f>
        <v>8957000</v>
      </c>
      <c r="G43" s="543"/>
    </row>
    <row r="44" spans="2:5" ht="12">
      <c r="B44" s="387" t="s">
        <v>167</v>
      </c>
      <c r="C44" s="388">
        <f>SUM(C40:C43)</f>
        <v>13769913</v>
      </c>
      <c r="D44" s="388">
        <f>SUM(D40:D43)</f>
        <v>13024892</v>
      </c>
      <c r="E44" s="388">
        <f>SUM(C44:D44)</f>
        <v>26794805</v>
      </c>
    </row>
    <row r="45" spans="13:22" ht="12">
      <c r="M45" s="109"/>
      <c r="N45" s="109"/>
      <c r="O45" s="109"/>
      <c r="P45" s="109"/>
      <c r="Q45" s="109"/>
      <c r="R45" s="109"/>
      <c r="S45" s="109"/>
      <c r="T45" s="109"/>
      <c r="U45" s="109"/>
      <c r="V45" s="109"/>
    </row>
    <row r="46" spans="2:22" s="433" customFormat="1" ht="12.75" thickBot="1">
      <c r="B46" s="435"/>
      <c r="C46" s="435"/>
      <c r="D46" s="435"/>
      <c r="E46" s="435"/>
      <c r="F46" s="435"/>
      <c r="G46" s="435"/>
      <c r="M46" s="434"/>
      <c r="N46" s="434"/>
      <c r="O46" s="434"/>
      <c r="P46" s="434"/>
      <c r="Q46" s="434"/>
      <c r="R46" s="434"/>
      <c r="S46" s="434"/>
      <c r="T46" s="434"/>
      <c r="U46" s="434"/>
      <c r="V46" s="434"/>
    </row>
    <row r="47" spans="2:22" s="433" customFormat="1" ht="13.5" customHeight="1">
      <c r="B47" s="710" t="s">
        <v>460</v>
      </c>
      <c r="C47" s="711"/>
      <c r="D47" s="711"/>
      <c r="E47" s="711"/>
      <c r="F47" s="712"/>
      <c r="G47" s="435"/>
      <c r="H47" s="435"/>
      <c r="I47" s="435"/>
      <c r="J47" s="435"/>
      <c r="K47" s="435"/>
      <c r="L47" s="435"/>
      <c r="M47" s="435"/>
      <c r="N47" s="435"/>
      <c r="O47" s="435"/>
      <c r="P47" s="435"/>
      <c r="Q47" s="435"/>
      <c r="R47" s="435"/>
      <c r="S47" s="435"/>
      <c r="T47" s="435"/>
      <c r="U47" s="435"/>
      <c r="V47" s="434"/>
    </row>
    <row r="48" spans="2:21" s="433" customFormat="1" ht="12">
      <c r="B48" s="441"/>
      <c r="C48" s="442" t="s">
        <v>457</v>
      </c>
      <c r="D48" s="442" t="s">
        <v>528</v>
      </c>
      <c r="E48" s="442" t="s">
        <v>459</v>
      </c>
      <c r="F48" s="443" t="s">
        <v>0</v>
      </c>
      <c r="G48" s="435"/>
      <c r="N48" s="434"/>
      <c r="O48" s="434"/>
      <c r="P48" s="434"/>
      <c r="Q48" s="434"/>
      <c r="R48" s="434"/>
      <c r="S48" s="434"/>
      <c r="T48" s="434"/>
      <c r="U48" s="434"/>
    </row>
    <row r="49" spans="2:21" s="433" customFormat="1" ht="12">
      <c r="B49" s="301" t="s">
        <v>237</v>
      </c>
      <c r="C49" s="304">
        <v>336724</v>
      </c>
      <c r="D49" s="304"/>
      <c r="E49" s="304">
        <v>2516800</v>
      </c>
      <c r="F49" s="305">
        <f>SUM(C49:E49)</f>
        <v>2853524</v>
      </c>
      <c r="G49" s="437"/>
      <c r="N49" s="434"/>
      <c r="O49" s="434"/>
      <c r="P49" s="434"/>
      <c r="Q49" s="434"/>
      <c r="R49" s="434"/>
      <c r="S49" s="434"/>
      <c r="T49" s="434"/>
      <c r="U49" s="434"/>
    </row>
    <row r="50" spans="2:21" s="433" customFormat="1" ht="12">
      <c r="B50" s="301" t="s">
        <v>62</v>
      </c>
      <c r="C50" s="304">
        <v>26469</v>
      </c>
      <c r="D50" s="304">
        <v>975000</v>
      </c>
      <c r="E50" s="516">
        <v>7705000</v>
      </c>
      <c r="F50" s="305">
        <f>SUM(C50:E50)</f>
        <v>8706469</v>
      </c>
      <c r="G50" s="436"/>
      <c r="N50" s="434"/>
      <c r="O50" s="434"/>
      <c r="P50" s="434"/>
      <c r="Q50" s="434"/>
      <c r="R50" s="434"/>
      <c r="S50" s="434"/>
      <c r="T50" s="434"/>
      <c r="U50" s="434"/>
    </row>
    <row r="51" spans="2:7" s="433" customFormat="1" ht="12.75" customHeight="1" thickBot="1">
      <c r="B51" s="520" t="s">
        <v>7</v>
      </c>
      <c r="C51" s="517">
        <f>SUM(C49:C50)</f>
        <v>363193</v>
      </c>
      <c r="D51" s="517">
        <f>SUM(D49:D50)</f>
        <v>975000</v>
      </c>
      <c r="E51" s="518">
        <f>SUM(E49:E50)</f>
        <v>10221800</v>
      </c>
      <c r="F51" s="519">
        <f>SUM(F49:F50)</f>
        <v>11559993</v>
      </c>
      <c r="G51" s="436"/>
    </row>
    <row r="52" spans="2:7" s="433" customFormat="1" ht="12">
      <c r="B52" s="435"/>
      <c r="C52" s="438"/>
      <c r="D52" s="439"/>
      <c r="E52" s="440"/>
      <c r="F52" s="439"/>
      <c r="G52" s="438"/>
    </row>
    <row r="53" spans="2:7" s="433" customFormat="1" ht="12">
      <c r="B53" s="713" t="s">
        <v>169</v>
      </c>
      <c r="C53" s="714"/>
      <c r="D53" s="714"/>
      <c r="E53" s="714"/>
      <c r="F53" s="714"/>
      <c r="G53" s="714"/>
    </row>
    <row r="54" spans="2:7" ht="12">
      <c r="B54" s="382"/>
      <c r="C54" s="709" t="s">
        <v>168</v>
      </c>
      <c r="D54" s="709"/>
      <c r="E54" s="709"/>
      <c r="F54" s="709"/>
      <c r="G54" s="709"/>
    </row>
    <row r="55" spans="2:7" ht="12">
      <c r="B55" s="383" t="s">
        <v>152</v>
      </c>
      <c r="C55" s="715" t="s">
        <v>153</v>
      </c>
      <c r="D55" s="715"/>
      <c r="E55" s="715" t="s">
        <v>154</v>
      </c>
      <c r="F55" s="715"/>
      <c r="G55" s="490" t="s">
        <v>0</v>
      </c>
    </row>
    <row r="56" spans="2:7" ht="12">
      <c r="B56" s="383"/>
      <c r="C56" s="490" t="s">
        <v>155</v>
      </c>
      <c r="D56" s="490" t="s">
        <v>156</v>
      </c>
      <c r="E56" s="490" t="s">
        <v>155</v>
      </c>
      <c r="F56" s="490" t="s">
        <v>156</v>
      </c>
      <c r="G56" s="490" t="s">
        <v>155</v>
      </c>
    </row>
    <row r="57" spans="2:7" ht="12">
      <c r="B57" s="385" t="s">
        <v>123</v>
      </c>
      <c r="C57" s="392">
        <f>ROUND(C24,-3)</f>
        <v>1618000</v>
      </c>
      <c r="D57" s="451">
        <f>D24</f>
        <v>0.5833118080349499</v>
      </c>
      <c r="E57" s="235">
        <f aca="true" t="shared" si="3" ref="E57:G61">ROUND(E24,-3)</f>
        <v>1156000</v>
      </c>
      <c r="F57" s="451">
        <f>F24</f>
        <v>0.4166881919650501</v>
      </c>
      <c r="G57" s="386">
        <f t="shared" si="3"/>
        <v>2774000</v>
      </c>
    </row>
    <row r="58" spans="2:7" ht="12">
      <c r="B58" s="385" t="s">
        <v>237</v>
      </c>
      <c r="C58" s="392">
        <f>ROUND(C25,-3)</f>
        <v>2770000</v>
      </c>
      <c r="D58" s="451">
        <f>D25</f>
        <v>0.5189383634132864</v>
      </c>
      <c r="E58" s="525">
        <f>E25</f>
        <v>2568171.6</v>
      </c>
      <c r="F58" s="451">
        <f>F25</f>
        <v>0.48106163658671364</v>
      </c>
      <c r="G58" s="386">
        <f t="shared" si="3"/>
        <v>5339000</v>
      </c>
    </row>
    <row r="59" spans="2:7" ht="12">
      <c r="B59" s="385" t="s">
        <v>236</v>
      </c>
      <c r="C59" s="392">
        <f>ROUND(C26,-3)</f>
        <v>9725000</v>
      </c>
      <c r="D59" s="451">
        <f>D26</f>
        <v>1</v>
      </c>
      <c r="E59" s="235">
        <f t="shared" si="3"/>
        <v>0</v>
      </c>
      <c r="F59" s="451">
        <f>F26</f>
        <v>0</v>
      </c>
      <c r="G59" s="386">
        <f t="shared" si="3"/>
        <v>9725000</v>
      </c>
    </row>
    <row r="60" spans="2:7" ht="12">
      <c r="B60" s="385" t="s">
        <v>62</v>
      </c>
      <c r="C60" s="392">
        <f>ROUND(C27,-3)</f>
        <v>1121000</v>
      </c>
      <c r="D60" s="451">
        <f>D27</f>
        <v>0.12517337278106502</v>
      </c>
      <c r="E60" s="432">
        <f t="shared" si="3"/>
        <v>7836000</v>
      </c>
      <c r="F60" s="451">
        <f>F27</f>
        <v>0.874826627218935</v>
      </c>
      <c r="G60" s="386">
        <f t="shared" si="3"/>
        <v>8957000</v>
      </c>
    </row>
    <row r="61" spans="2:7" ht="12">
      <c r="B61" s="387" t="s">
        <v>7</v>
      </c>
      <c r="C61" s="393">
        <f>ROUND(C28,-3)</f>
        <v>15235000</v>
      </c>
      <c r="D61" s="452">
        <f>D28</f>
        <v>0.5685733484531796</v>
      </c>
      <c r="E61" s="495">
        <f t="shared" si="3"/>
        <v>11560000</v>
      </c>
      <c r="F61" s="452">
        <f>F28</f>
        <v>0.43142665154682036</v>
      </c>
      <c r="G61" s="388">
        <f t="shared" si="3"/>
        <v>26795000</v>
      </c>
    </row>
    <row r="63" ht="12.75" thickBot="1"/>
    <row r="64" spans="2:7" ht="12">
      <c r="B64" s="716" t="s">
        <v>431</v>
      </c>
      <c r="C64" s="717"/>
      <c r="D64" s="717"/>
      <c r="E64" s="717"/>
      <c r="F64" s="718"/>
      <c r="G64" s="448"/>
    </row>
    <row r="65" spans="2:7" ht="12">
      <c r="B65" s="719" t="s">
        <v>157</v>
      </c>
      <c r="C65" s="489" t="s">
        <v>158</v>
      </c>
      <c r="D65" s="720" t="s">
        <v>124</v>
      </c>
      <c r="E65" s="720" t="s">
        <v>160</v>
      </c>
      <c r="F65" s="721" t="s">
        <v>161</v>
      </c>
      <c r="G65" s="722"/>
    </row>
    <row r="66" spans="2:7" ht="12">
      <c r="B66" s="719"/>
      <c r="C66" s="489" t="s">
        <v>159</v>
      </c>
      <c r="D66" s="720"/>
      <c r="E66" s="720"/>
      <c r="F66" s="721"/>
      <c r="G66" s="722"/>
    </row>
    <row r="67" spans="2:7" ht="12">
      <c r="B67" s="449" t="s">
        <v>162</v>
      </c>
      <c r="C67" s="453">
        <f aca="true" t="shared" si="4" ref="C67:E69">ROUND(C34,-3)</f>
        <v>1491000</v>
      </c>
      <c r="D67" s="453">
        <f t="shared" si="4"/>
        <v>13744000</v>
      </c>
      <c r="E67" s="453">
        <f t="shared" si="4"/>
        <v>15235000</v>
      </c>
      <c r="F67" s="454">
        <f>F34</f>
        <v>0.5685733484531796</v>
      </c>
      <c r="G67" s="444"/>
    </row>
    <row r="68" spans="2:7" ht="24">
      <c r="B68" s="449" t="s">
        <v>461</v>
      </c>
      <c r="C68" s="453">
        <f t="shared" si="4"/>
        <v>1283000</v>
      </c>
      <c r="D68" s="453">
        <f t="shared" si="4"/>
        <v>10277000</v>
      </c>
      <c r="E68" s="453">
        <f t="shared" si="4"/>
        <v>11560000</v>
      </c>
      <c r="F68" s="454">
        <f>F35</f>
        <v>0.43142665154682036</v>
      </c>
      <c r="G68" s="109"/>
    </row>
    <row r="69" spans="2:7" ht="12.75" thickBot="1">
      <c r="B69" s="450" t="s">
        <v>163</v>
      </c>
      <c r="C69" s="455">
        <f t="shared" si="4"/>
        <v>2774000</v>
      </c>
      <c r="D69" s="455">
        <f t="shared" si="4"/>
        <v>24021000</v>
      </c>
      <c r="E69" s="455">
        <f t="shared" si="4"/>
        <v>26795000</v>
      </c>
      <c r="F69" s="456">
        <f>F36</f>
        <v>1</v>
      </c>
      <c r="G69" s="446"/>
    </row>
    <row r="70" ht="12">
      <c r="F70" s="109"/>
    </row>
    <row r="71" spans="2:6" ht="12">
      <c r="B71" s="709" t="s">
        <v>170</v>
      </c>
      <c r="C71" s="709"/>
      <c r="D71" s="709"/>
      <c r="E71" s="709"/>
      <c r="F71" s="381"/>
    </row>
    <row r="72" spans="2:5" ht="12">
      <c r="B72" s="383" t="s">
        <v>164</v>
      </c>
      <c r="C72" s="490">
        <v>2019</v>
      </c>
      <c r="D72" s="490">
        <v>2020</v>
      </c>
      <c r="E72" s="490" t="s">
        <v>165</v>
      </c>
    </row>
    <row r="73" spans="2:5" ht="12">
      <c r="B73" s="385" t="s">
        <v>166</v>
      </c>
      <c r="C73" s="386">
        <f aca="true" t="shared" si="5" ref="C73:E77">ROUND(C40,-3)</f>
        <v>2561000</v>
      </c>
      <c r="D73" s="386">
        <f t="shared" si="5"/>
        <v>214000</v>
      </c>
      <c r="E73" s="386">
        <f t="shared" si="5"/>
        <v>2774000</v>
      </c>
    </row>
    <row r="74" spans="2:5" ht="12">
      <c r="B74" s="385" t="s">
        <v>237</v>
      </c>
      <c r="C74" s="386">
        <f t="shared" si="5"/>
        <v>0</v>
      </c>
      <c r="D74" s="386">
        <f t="shared" si="5"/>
        <v>5339000</v>
      </c>
      <c r="E74" s="386">
        <f t="shared" si="5"/>
        <v>5339000</v>
      </c>
    </row>
    <row r="75" spans="2:5" ht="12">
      <c r="B75" s="385" t="s">
        <v>236</v>
      </c>
      <c r="C75" s="386">
        <f t="shared" si="5"/>
        <v>5835000</v>
      </c>
      <c r="D75" s="386">
        <f t="shared" si="5"/>
        <v>3890000</v>
      </c>
      <c r="E75" s="386">
        <f t="shared" si="5"/>
        <v>9725000</v>
      </c>
    </row>
    <row r="76" spans="2:5" ht="12">
      <c r="B76" s="385" t="s">
        <v>62</v>
      </c>
      <c r="C76" s="386">
        <f t="shared" si="5"/>
        <v>5374000</v>
      </c>
      <c r="D76" s="386">
        <f t="shared" si="5"/>
        <v>3583000</v>
      </c>
      <c r="E76" s="386">
        <f t="shared" si="5"/>
        <v>8957000</v>
      </c>
    </row>
    <row r="77" spans="2:5" ht="12">
      <c r="B77" s="387" t="s">
        <v>7</v>
      </c>
      <c r="C77" s="388">
        <f t="shared" si="5"/>
        <v>13770000</v>
      </c>
      <c r="D77" s="388">
        <f t="shared" si="5"/>
        <v>13025000</v>
      </c>
      <c r="E77" s="388">
        <f t="shared" si="5"/>
        <v>26795000</v>
      </c>
    </row>
    <row r="79" spans="2:7" ht="12.75" thickBot="1">
      <c r="B79" s="435"/>
      <c r="C79" s="435"/>
      <c r="D79" s="435"/>
      <c r="E79" s="435"/>
      <c r="F79" s="435"/>
      <c r="G79" s="435"/>
    </row>
    <row r="80" spans="2:7" ht="12">
      <c r="B80" s="710" t="s">
        <v>460</v>
      </c>
      <c r="C80" s="711"/>
      <c r="D80" s="711"/>
      <c r="E80" s="711"/>
      <c r="F80" s="712"/>
      <c r="G80" s="435"/>
    </row>
    <row r="81" spans="2:7" ht="12">
      <c r="B81" s="441"/>
      <c r="C81" s="442" t="s">
        <v>457</v>
      </c>
      <c r="D81" s="442" t="s">
        <v>458</v>
      </c>
      <c r="E81" s="442" t="s">
        <v>459</v>
      </c>
      <c r="F81" s="443" t="s">
        <v>0</v>
      </c>
      <c r="G81" s="435"/>
    </row>
    <row r="82" spans="2:7" ht="12">
      <c r="B82" s="301" t="s">
        <v>237</v>
      </c>
      <c r="C82" s="304">
        <f aca="true" t="shared" si="6" ref="C82:F84">ROUND(C49,-3)</f>
        <v>337000</v>
      </c>
      <c r="D82" s="304">
        <f t="shared" si="6"/>
        <v>0</v>
      </c>
      <c r="E82" s="304">
        <f t="shared" si="6"/>
        <v>2517000</v>
      </c>
      <c r="F82" s="305">
        <f t="shared" si="6"/>
        <v>2854000</v>
      </c>
      <c r="G82" s="437"/>
    </row>
    <row r="83" spans="2:7" ht="12">
      <c r="B83" s="301" t="s">
        <v>62</v>
      </c>
      <c r="C83" s="304">
        <f t="shared" si="6"/>
        <v>26000</v>
      </c>
      <c r="D83" s="304">
        <f t="shared" si="6"/>
        <v>975000</v>
      </c>
      <c r="E83" s="516">
        <f t="shared" si="6"/>
        <v>7705000</v>
      </c>
      <c r="F83" s="305">
        <f t="shared" si="6"/>
        <v>8706000</v>
      </c>
      <c r="G83" s="436"/>
    </row>
    <row r="84" spans="2:7" ht="12.75" thickBot="1">
      <c r="B84" s="520" t="s">
        <v>7</v>
      </c>
      <c r="C84" s="517">
        <f t="shared" si="6"/>
        <v>363000</v>
      </c>
      <c r="D84" s="517">
        <f t="shared" si="6"/>
        <v>975000</v>
      </c>
      <c r="E84" s="518">
        <f t="shared" si="6"/>
        <v>10222000</v>
      </c>
      <c r="F84" s="519">
        <f t="shared" si="6"/>
        <v>11560000</v>
      </c>
      <c r="G84" s="436"/>
    </row>
    <row r="85" spans="2:7" ht="12">
      <c r="B85" s="109"/>
      <c r="C85" s="109"/>
      <c r="D85" s="109"/>
      <c r="E85" s="109"/>
      <c r="F85" s="109"/>
      <c r="G85" s="109"/>
    </row>
    <row r="86" spans="2:7" ht="12">
      <c r="B86" s="109"/>
      <c r="C86" s="109"/>
      <c r="D86" s="109"/>
      <c r="E86" s="109"/>
      <c r="F86" s="109"/>
      <c r="G86" s="109"/>
    </row>
    <row r="87" spans="2:7" ht="12">
      <c r="B87" s="109"/>
      <c r="C87" s="109"/>
      <c r="D87" s="109"/>
      <c r="E87" s="109"/>
      <c r="F87" s="109"/>
      <c r="G87" s="109"/>
    </row>
    <row r="88" spans="2:7" ht="12">
      <c r="B88" s="109"/>
      <c r="C88" s="109"/>
      <c r="D88" s="109"/>
      <c r="E88" s="109"/>
      <c r="F88" s="109"/>
      <c r="G88" s="109"/>
    </row>
    <row r="89" spans="2:7" ht="12">
      <c r="B89" s="109"/>
      <c r="C89" s="109"/>
      <c r="D89" s="109"/>
      <c r="E89" s="109"/>
      <c r="F89" s="109"/>
      <c r="G89" s="109"/>
    </row>
    <row r="90" spans="2:7" ht="12">
      <c r="B90" s="109"/>
      <c r="C90" s="109"/>
      <c r="D90" s="109"/>
      <c r="E90" s="109"/>
      <c r="F90" s="109"/>
      <c r="G90" s="109"/>
    </row>
    <row r="91" spans="2:7" ht="12">
      <c r="B91" s="109"/>
      <c r="C91" s="109"/>
      <c r="D91" s="109"/>
      <c r="E91" s="109"/>
      <c r="F91" s="109"/>
      <c r="G91" s="109"/>
    </row>
    <row r="92" spans="2:7" ht="12">
      <c r="B92" s="109"/>
      <c r="C92" s="109"/>
      <c r="D92" s="109"/>
      <c r="E92" s="109"/>
      <c r="F92" s="109"/>
      <c r="G92" s="109"/>
    </row>
    <row r="93" spans="2:7" ht="12">
      <c r="B93" s="109"/>
      <c r="C93" s="109"/>
      <c r="D93" s="109"/>
      <c r="E93" s="109"/>
      <c r="F93" s="109"/>
      <c r="G93" s="109"/>
    </row>
    <row r="94" spans="2:7" ht="12">
      <c r="B94" s="109"/>
      <c r="C94" s="109"/>
      <c r="D94" s="109"/>
      <c r="E94" s="109"/>
      <c r="F94" s="109"/>
      <c r="G94" s="109"/>
    </row>
    <row r="95" spans="2:7" ht="12">
      <c r="B95" s="109"/>
      <c r="C95" s="109"/>
      <c r="D95" s="109"/>
      <c r="E95" s="109"/>
      <c r="F95" s="109"/>
      <c r="G95" s="109"/>
    </row>
    <row r="96" spans="2:7" ht="12">
      <c r="B96" s="109"/>
      <c r="C96" s="109"/>
      <c r="D96" s="109"/>
      <c r="E96" s="109"/>
      <c r="F96" s="109"/>
      <c r="G96" s="109"/>
    </row>
    <row r="97" spans="2:7" ht="12">
      <c r="B97" s="109"/>
      <c r="C97" s="109"/>
      <c r="D97" s="109"/>
      <c r="E97" s="109"/>
      <c r="F97" s="109"/>
      <c r="G97" s="109"/>
    </row>
    <row r="98" spans="2:7" ht="12">
      <c r="B98" s="109"/>
      <c r="C98" s="109"/>
      <c r="D98" s="109"/>
      <c r="E98" s="109"/>
      <c r="F98" s="109"/>
      <c r="G98" s="109"/>
    </row>
    <row r="99" spans="2:7" ht="12">
      <c r="B99" s="109"/>
      <c r="C99" s="109"/>
      <c r="D99" s="109"/>
      <c r="E99" s="109"/>
      <c r="F99" s="109"/>
      <c r="G99" s="109"/>
    </row>
    <row r="100" spans="2:7" ht="12">
      <c r="B100" s="109"/>
      <c r="C100" s="109"/>
      <c r="D100" s="109"/>
      <c r="E100" s="109"/>
      <c r="F100" s="109"/>
      <c r="G100" s="109"/>
    </row>
    <row r="101" spans="2:7" ht="12">
      <c r="B101" s="109"/>
      <c r="C101" s="109"/>
      <c r="D101" s="109"/>
      <c r="E101" s="109"/>
      <c r="F101" s="109"/>
      <c r="G101" s="109"/>
    </row>
  </sheetData>
  <sheetProtection/>
  <mergeCells count="40">
    <mergeCell ref="Q22:R22"/>
    <mergeCell ref="G32:G33"/>
    <mergeCell ref="H32:H33"/>
    <mergeCell ref="O22:P22"/>
    <mergeCell ref="S22:T22"/>
    <mergeCell ref="C21:G21"/>
    <mergeCell ref="O21:P21"/>
    <mergeCell ref="Q21:U21"/>
    <mergeCell ref="C22:D22"/>
    <mergeCell ref="E22:F22"/>
    <mergeCell ref="A11:A12"/>
    <mergeCell ref="A13:A14"/>
    <mergeCell ref="A15:A16"/>
    <mergeCell ref="A17:B17"/>
    <mergeCell ref="F32:F33"/>
    <mergeCell ref="A2:B2"/>
    <mergeCell ref="A3:A4"/>
    <mergeCell ref="A5:A6"/>
    <mergeCell ref="A7:A8"/>
    <mergeCell ref="A10:B10"/>
    <mergeCell ref="F65:F66"/>
    <mergeCell ref="G65:G66"/>
    <mergeCell ref="B38:E38"/>
    <mergeCell ref="B47:F47"/>
    <mergeCell ref="B20:G20"/>
    <mergeCell ref="N20:U20"/>
    <mergeCell ref="B31:F31"/>
    <mergeCell ref="E32:E33"/>
    <mergeCell ref="B32:B33"/>
    <mergeCell ref="D32:D33"/>
    <mergeCell ref="B71:E71"/>
    <mergeCell ref="B80:F80"/>
    <mergeCell ref="B53:G53"/>
    <mergeCell ref="C54:G54"/>
    <mergeCell ref="C55:D55"/>
    <mergeCell ref="E55:F55"/>
    <mergeCell ref="B64:F64"/>
    <mergeCell ref="B65:B66"/>
    <mergeCell ref="D65:D66"/>
    <mergeCell ref="E65:E66"/>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3:L6"/>
  <sheetViews>
    <sheetView zoomScalePageLayoutView="0" workbookViewId="0" topLeftCell="A1">
      <selection activeCell="O43" sqref="O43"/>
    </sheetView>
  </sheetViews>
  <sheetFormatPr defaultColWidth="9.140625" defaultRowHeight="12.75"/>
  <cols>
    <col min="1" max="1" width="28.140625" style="1" customWidth="1"/>
    <col min="2" max="2" width="9.7109375" style="1" hidden="1" customWidth="1"/>
    <col min="3" max="3" width="9.140625" style="1" hidden="1" customWidth="1"/>
    <col min="4" max="11" width="9.140625" style="1" customWidth="1"/>
    <col min="12" max="16384" width="9.140625" style="1" customWidth="1"/>
  </cols>
  <sheetData>
    <row r="2" ht="13.5" thickBot="1"/>
    <row r="3" spans="1:12" ht="42.75">
      <c r="A3" s="8" t="s">
        <v>45</v>
      </c>
      <c r="B3" s="9" t="s">
        <v>9</v>
      </c>
      <c r="C3" s="9" t="s">
        <v>10</v>
      </c>
      <c r="D3" s="9" t="s">
        <v>138</v>
      </c>
      <c r="E3" s="9" t="s">
        <v>139</v>
      </c>
      <c r="F3" s="9" t="s">
        <v>140</v>
      </c>
      <c r="G3" s="9" t="s">
        <v>141</v>
      </c>
      <c r="H3" s="9" t="s">
        <v>256</v>
      </c>
      <c r="I3" s="9" t="s">
        <v>257</v>
      </c>
      <c r="J3" s="9" t="s">
        <v>258</v>
      </c>
      <c r="K3" s="9" t="s">
        <v>259</v>
      </c>
      <c r="L3" s="11" t="s">
        <v>7</v>
      </c>
    </row>
    <row r="4" spans="1:12" ht="15">
      <c r="A4" s="10" t="s">
        <v>46</v>
      </c>
      <c r="B4" s="6">
        <f>ROUND(('Capital Expenditure'!C17/76923)*0.64,0)</f>
        <v>0</v>
      </c>
      <c r="C4" s="3">
        <f>ROUND(('Capital Expenditure'!D17/76923)*0.64,0)</f>
        <v>9</v>
      </c>
      <c r="D4" s="3">
        <f>ROUND(('Capital Expenditure'!C17/76923)*0.64,0)</f>
        <v>0</v>
      </c>
      <c r="E4" s="3">
        <f>ROUND(('Capital Expenditure'!D17/76923)*0.64,0)</f>
        <v>9</v>
      </c>
      <c r="F4" s="3">
        <f>ROUND(('Capital Expenditure'!E17/76923)*0.64,0)</f>
        <v>10</v>
      </c>
      <c r="G4" s="3">
        <f>ROUND(('Capital Expenditure'!F17/76923)*0.64,0)</f>
        <v>95</v>
      </c>
      <c r="H4" s="3">
        <f>ROUND(('Capital Expenditure'!G17/76923)*0.64,0)</f>
        <v>64</v>
      </c>
      <c r="I4" s="3">
        <f>ROUND(('Capital Expenditure'!H17/76923)*0.64,0)</f>
        <v>27</v>
      </c>
      <c r="J4" s="3">
        <f>ROUND(('Capital Expenditure'!I17/76923)*0.64,0)</f>
        <v>18</v>
      </c>
      <c r="K4" s="3">
        <f>ROUND(('Capital Expenditure'!J17/76923)*0.64,0)</f>
        <v>0</v>
      </c>
      <c r="L4" s="401">
        <f>SUM(D4:K4)</f>
        <v>223</v>
      </c>
    </row>
    <row r="5" spans="1:12" ht="15">
      <c r="A5" s="10" t="s">
        <v>47</v>
      </c>
      <c r="B5" s="6">
        <f>ROUND(('Capital Expenditure'!C17/76923)*0.36,0)</f>
        <v>0</v>
      </c>
      <c r="C5" s="3">
        <f>ROUND(('Capital Expenditure'!D17/76923)*0.36,0)</f>
        <v>5</v>
      </c>
      <c r="D5" s="3">
        <f>ROUND(('Capital Expenditure'!C17/76923)*0.36,0)</f>
        <v>0</v>
      </c>
      <c r="E5" s="3">
        <f>ROUND(('Capital Expenditure'!D17/76923)*0.36,0)</f>
        <v>5</v>
      </c>
      <c r="F5" s="3">
        <f>ROUND(('Capital Expenditure'!E17/76923)*0.36,0)</f>
        <v>5</v>
      </c>
      <c r="G5" s="3">
        <f>ROUND(('Capital Expenditure'!F17/76923)*0.36,0)</f>
        <v>54</v>
      </c>
      <c r="H5" s="3">
        <f>ROUND(('Capital Expenditure'!G17/76923)*0.36,0)</f>
        <v>36</v>
      </c>
      <c r="I5" s="3">
        <f>ROUND(('Capital Expenditure'!H17/76923)*0.36,0)</f>
        <v>15</v>
      </c>
      <c r="J5" s="3">
        <f>ROUND(('Capital Expenditure'!I17/76923)*0.36,0)</f>
        <v>10</v>
      </c>
      <c r="K5" s="3">
        <f>ROUND(('Capital Expenditure'!J17/76923)*0.36,0)</f>
        <v>0</v>
      </c>
      <c r="L5" s="401">
        <f>SUM(D5:K5)</f>
        <v>125</v>
      </c>
    </row>
    <row r="6" spans="1:12" ht="15" thickBot="1">
      <c r="A6" s="12" t="s">
        <v>7</v>
      </c>
      <c r="B6" s="13">
        <f>SUM(B4:B5)</f>
        <v>0</v>
      </c>
      <c r="C6" s="14">
        <f>SUM(C4:C5)</f>
        <v>14</v>
      </c>
      <c r="D6" s="14">
        <f>SUM(D4:D5)</f>
        <v>0</v>
      </c>
      <c r="E6" s="14">
        <f aca="true" t="shared" si="0" ref="E6:K6">SUM(E4:E5)</f>
        <v>14</v>
      </c>
      <c r="F6" s="14">
        <f t="shared" si="0"/>
        <v>15</v>
      </c>
      <c r="G6" s="14">
        <f t="shared" si="0"/>
        <v>149</v>
      </c>
      <c r="H6" s="14">
        <f t="shared" si="0"/>
        <v>100</v>
      </c>
      <c r="I6" s="14">
        <f t="shared" si="0"/>
        <v>42</v>
      </c>
      <c r="J6" s="14">
        <f t="shared" si="0"/>
        <v>28</v>
      </c>
      <c r="K6" s="14">
        <f t="shared" si="0"/>
        <v>0</v>
      </c>
      <c r="L6" s="402">
        <f>SUM(L4:L5)</f>
        <v>348</v>
      </c>
    </row>
  </sheetData>
  <sheetProtection/>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FF00"/>
  </sheetPr>
  <dimension ref="A1:L119"/>
  <sheetViews>
    <sheetView zoomScale="60" zoomScaleNormal="60" zoomScalePageLayoutView="0" workbookViewId="0" topLeftCell="A1">
      <selection activeCell="V42" sqref="V42"/>
    </sheetView>
  </sheetViews>
  <sheetFormatPr defaultColWidth="9.140625" defaultRowHeight="12.75"/>
  <cols>
    <col min="1" max="1" width="111.00390625" style="19" customWidth="1"/>
    <col min="2" max="5" width="15.7109375" style="19" customWidth="1"/>
    <col min="6" max="11" width="15.7109375" style="1" customWidth="1"/>
    <col min="12" max="16384" width="9.140625" style="1" customWidth="1"/>
  </cols>
  <sheetData>
    <row r="1" spans="1:11" ht="15.75" customHeight="1">
      <c r="A1" s="729" t="s">
        <v>12</v>
      </c>
      <c r="B1" s="729"/>
      <c r="C1" s="729"/>
      <c r="D1" s="729"/>
      <c r="E1" s="729"/>
      <c r="F1" s="729"/>
      <c r="G1" s="729"/>
      <c r="H1" s="729"/>
      <c r="I1" s="729"/>
      <c r="J1" s="729"/>
      <c r="K1" s="729"/>
    </row>
    <row r="2" spans="1:11" ht="15.75" customHeight="1">
      <c r="A2" s="729" t="s">
        <v>125</v>
      </c>
      <c r="B2" s="729"/>
      <c r="C2" s="729"/>
      <c r="D2" s="729"/>
      <c r="E2" s="729"/>
      <c r="F2" s="729"/>
      <c r="G2" s="729"/>
      <c r="H2" s="729"/>
      <c r="I2" s="729"/>
      <c r="J2" s="729"/>
      <c r="K2" s="729"/>
    </row>
    <row r="3" spans="1:6" ht="15.75" customHeight="1" thickBot="1">
      <c r="A3" s="20"/>
      <c r="B3" s="20"/>
      <c r="C3" s="20"/>
      <c r="D3" s="20"/>
      <c r="E3" s="20"/>
      <c r="F3" s="4"/>
    </row>
    <row r="4" spans="1:11" ht="38.25">
      <c r="A4" s="21" t="s">
        <v>13</v>
      </c>
      <c r="B4" s="22" t="s">
        <v>14</v>
      </c>
      <c r="C4" s="22" t="s">
        <v>15</v>
      </c>
      <c r="D4" s="22" t="s">
        <v>42</v>
      </c>
      <c r="E4" s="22" t="s">
        <v>43</v>
      </c>
      <c r="F4" s="22" t="s">
        <v>44</v>
      </c>
      <c r="G4" s="22" t="s">
        <v>126</v>
      </c>
      <c r="H4" s="23" t="s">
        <v>39</v>
      </c>
      <c r="I4" s="23" t="s">
        <v>40</v>
      </c>
      <c r="J4" s="23" t="s">
        <v>41</v>
      </c>
      <c r="K4" s="24" t="s">
        <v>38</v>
      </c>
    </row>
    <row r="5" spans="1:11" ht="12.75">
      <c r="A5" s="25" t="s">
        <v>35</v>
      </c>
      <c r="B5" s="26">
        <v>316515021</v>
      </c>
      <c r="C5" s="26">
        <v>4625253</v>
      </c>
      <c r="D5" s="26">
        <v>52639</v>
      </c>
      <c r="E5" s="26">
        <v>21650</v>
      </c>
      <c r="F5" s="26">
        <v>44161</v>
      </c>
      <c r="G5" s="7"/>
      <c r="H5" s="27">
        <v>2314</v>
      </c>
      <c r="I5" s="27">
        <v>4135</v>
      </c>
      <c r="J5" s="27">
        <v>1966</v>
      </c>
      <c r="K5" s="28">
        <f>SUM(H5:J5)</f>
        <v>8415</v>
      </c>
    </row>
    <row r="6" spans="1:11" ht="12.75">
      <c r="A6" s="25" t="s">
        <v>16</v>
      </c>
      <c r="B6" s="26">
        <v>158897824</v>
      </c>
      <c r="C6" s="26">
        <v>2194199</v>
      </c>
      <c r="D6" s="26">
        <v>26863</v>
      </c>
      <c r="E6" s="26">
        <v>10146</v>
      </c>
      <c r="F6" s="26">
        <v>21660</v>
      </c>
      <c r="G6" s="7"/>
      <c r="H6" s="27">
        <v>967</v>
      </c>
      <c r="I6" s="27">
        <v>1883</v>
      </c>
      <c r="J6" s="27">
        <v>778</v>
      </c>
      <c r="K6" s="28">
        <f aca="true" t="shared" si="0" ref="K6:K23">SUM(H6:J6)</f>
        <v>3628</v>
      </c>
    </row>
    <row r="7" spans="1:11" ht="12.75">
      <c r="A7" s="25" t="s">
        <v>17</v>
      </c>
      <c r="B7" s="29">
        <v>0.083</v>
      </c>
      <c r="C7" s="29">
        <v>0.081</v>
      </c>
      <c r="D7" s="29">
        <v>0.077</v>
      </c>
      <c r="E7" s="76">
        <v>0.11</v>
      </c>
      <c r="F7" s="29">
        <v>0.092</v>
      </c>
      <c r="G7" s="30">
        <f>B7+0.01</f>
        <v>0.093</v>
      </c>
      <c r="H7" s="31">
        <v>0.223</v>
      </c>
      <c r="I7" s="32">
        <v>0.063</v>
      </c>
      <c r="J7" s="31">
        <v>0.192</v>
      </c>
      <c r="K7" s="33">
        <f>((H7*H6)+(I7*I6)+(J7*J6))/K6</f>
        <v>0.13330926130099227</v>
      </c>
    </row>
    <row r="8" spans="1:11" ht="12.75">
      <c r="A8" s="25"/>
      <c r="B8" s="34"/>
      <c r="C8" s="34"/>
      <c r="D8" s="34"/>
      <c r="E8" s="34"/>
      <c r="F8" s="34"/>
      <c r="G8" s="7"/>
      <c r="H8" s="35" t="s">
        <v>37</v>
      </c>
      <c r="I8" s="35" t="s">
        <v>37</v>
      </c>
      <c r="J8" s="35" t="s">
        <v>37</v>
      </c>
      <c r="K8" s="36"/>
    </row>
    <row r="9" spans="1:11" ht="12.75">
      <c r="A9" s="25" t="s">
        <v>18</v>
      </c>
      <c r="B9" s="34"/>
      <c r="C9" s="34"/>
      <c r="D9" s="34"/>
      <c r="E9" s="34"/>
      <c r="F9" s="34"/>
      <c r="G9" s="7"/>
      <c r="H9" s="35" t="s">
        <v>37</v>
      </c>
      <c r="I9" s="35" t="s">
        <v>37</v>
      </c>
      <c r="J9" s="35" t="s">
        <v>37</v>
      </c>
      <c r="K9" s="36"/>
    </row>
    <row r="10" spans="1:11" ht="12.75">
      <c r="A10" s="25" t="s">
        <v>19</v>
      </c>
      <c r="B10" s="26">
        <v>145747779</v>
      </c>
      <c r="C10" s="26">
        <v>2016049</v>
      </c>
      <c r="D10" s="26">
        <v>24804</v>
      </c>
      <c r="E10" s="26">
        <v>9035</v>
      </c>
      <c r="F10" s="26">
        <v>19661</v>
      </c>
      <c r="G10" s="7"/>
      <c r="H10" s="27">
        <v>751</v>
      </c>
      <c r="I10" s="27">
        <v>1764</v>
      </c>
      <c r="J10" s="27">
        <v>629</v>
      </c>
      <c r="K10" s="28">
        <f t="shared" si="0"/>
        <v>3144</v>
      </c>
    </row>
    <row r="11" spans="1:12" ht="12.75">
      <c r="A11" s="25" t="s">
        <v>20</v>
      </c>
      <c r="B11" s="26">
        <v>2852402</v>
      </c>
      <c r="C11" s="26">
        <v>94748</v>
      </c>
      <c r="D11" s="34">
        <v>240</v>
      </c>
      <c r="E11" s="34">
        <v>247</v>
      </c>
      <c r="F11" s="34">
        <v>317</v>
      </c>
      <c r="G11" s="7"/>
      <c r="H11" s="27">
        <v>4</v>
      </c>
      <c r="I11" s="27">
        <v>41</v>
      </c>
      <c r="J11" s="27">
        <v>0</v>
      </c>
      <c r="K11" s="28">
        <f t="shared" si="0"/>
        <v>45</v>
      </c>
      <c r="L11" s="16"/>
    </row>
    <row r="12" spans="1:11" ht="12.75">
      <c r="A12" s="25" t="s">
        <v>21</v>
      </c>
      <c r="B12" s="26">
        <v>9027391</v>
      </c>
      <c r="C12" s="26">
        <v>161968</v>
      </c>
      <c r="D12" s="26">
        <v>2431</v>
      </c>
      <c r="E12" s="34">
        <v>688</v>
      </c>
      <c r="F12" s="26">
        <v>1683</v>
      </c>
      <c r="G12" s="7"/>
      <c r="H12" s="27">
        <v>34</v>
      </c>
      <c r="I12" s="27">
        <v>175</v>
      </c>
      <c r="J12" s="27">
        <v>90</v>
      </c>
      <c r="K12" s="28">
        <f t="shared" si="0"/>
        <v>299</v>
      </c>
    </row>
    <row r="13" spans="1:11" ht="12.75">
      <c r="A13" s="25" t="s">
        <v>22</v>
      </c>
      <c r="B13" s="26">
        <v>15171260</v>
      </c>
      <c r="C13" s="26">
        <v>160133</v>
      </c>
      <c r="D13" s="26">
        <v>3044</v>
      </c>
      <c r="E13" s="26">
        <v>2025</v>
      </c>
      <c r="F13" s="26">
        <v>2701</v>
      </c>
      <c r="G13" s="7"/>
      <c r="H13" s="27">
        <v>180</v>
      </c>
      <c r="I13" s="27">
        <v>267</v>
      </c>
      <c r="J13" s="27">
        <v>101</v>
      </c>
      <c r="K13" s="28">
        <f t="shared" si="0"/>
        <v>548</v>
      </c>
    </row>
    <row r="14" spans="1:11" ht="12.75">
      <c r="A14" s="25" t="s">
        <v>23</v>
      </c>
      <c r="B14" s="26">
        <v>3968627</v>
      </c>
      <c r="C14" s="26">
        <v>52115</v>
      </c>
      <c r="D14" s="26">
        <v>1095</v>
      </c>
      <c r="E14" s="34">
        <v>188</v>
      </c>
      <c r="F14" s="34">
        <v>547</v>
      </c>
      <c r="G14" s="7"/>
      <c r="H14" s="27">
        <v>0</v>
      </c>
      <c r="I14" s="27">
        <v>88</v>
      </c>
      <c r="J14" s="27">
        <v>17</v>
      </c>
      <c r="K14" s="28">
        <f t="shared" si="0"/>
        <v>105</v>
      </c>
    </row>
    <row r="15" spans="1:11" ht="12.75">
      <c r="A15" s="25" t="s">
        <v>24</v>
      </c>
      <c r="B15" s="26">
        <v>16835942</v>
      </c>
      <c r="C15" s="26">
        <v>234286</v>
      </c>
      <c r="D15" s="26">
        <v>2760</v>
      </c>
      <c r="E15" s="34">
        <v>1040</v>
      </c>
      <c r="F15" s="26">
        <v>2373</v>
      </c>
      <c r="G15" s="7"/>
      <c r="H15" s="27">
        <v>67</v>
      </c>
      <c r="I15" s="27">
        <v>288</v>
      </c>
      <c r="J15" s="27">
        <v>14</v>
      </c>
      <c r="K15" s="28">
        <f t="shared" si="0"/>
        <v>369</v>
      </c>
    </row>
    <row r="16" spans="1:11" ht="12.75">
      <c r="A16" s="25" t="s">
        <v>25</v>
      </c>
      <c r="B16" s="26">
        <v>7226063</v>
      </c>
      <c r="C16" s="26">
        <v>104920</v>
      </c>
      <c r="D16" s="26">
        <v>1992</v>
      </c>
      <c r="E16" s="34">
        <v>612</v>
      </c>
      <c r="F16" s="26">
        <v>1259</v>
      </c>
      <c r="G16" s="7"/>
      <c r="H16" s="27">
        <v>26</v>
      </c>
      <c r="I16" s="27">
        <v>135</v>
      </c>
      <c r="J16" s="27">
        <v>33</v>
      </c>
      <c r="K16" s="28">
        <f t="shared" si="0"/>
        <v>194</v>
      </c>
    </row>
    <row r="17" spans="1:11" ht="12.75">
      <c r="A17" s="25" t="s">
        <v>26</v>
      </c>
      <c r="B17" s="26">
        <v>3094143</v>
      </c>
      <c r="C17" s="26">
        <v>32446</v>
      </c>
      <c r="D17" s="34">
        <v>295</v>
      </c>
      <c r="E17" s="34">
        <v>12</v>
      </c>
      <c r="F17" s="34">
        <v>359</v>
      </c>
      <c r="G17" s="7"/>
      <c r="H17" s="27">
        <v>19</v>
      </c>
      <c r="I17" s="27">
        <v>38</v>
      </c>
      <c r="J17" s="27">
        <v>24</v>
      </c>
      <c r="K17" s="28">
        <f t="shared" si="0"/>
        <v>81</v>
      </c>
    </row>
    <row r="18" spans="1:11" ht="12.75">
      <c r="A18" s="25" t="s">
        <v>27</v>
      </c>
      <c r="B18" s="26">
        <v>9578175</v>
      </c>
      <c r="C18" s="26">
        <v>103214</v>
      </c>
      <c r="D18" s="26">
        <v>1081</v>
      </c>
      <c r="E18" s="34">
        <v>322</v>
      </c>
      <c r="F18" s="34">
        <v>910</v>
      </c>
      <c r="G18" s="7"/>
      <c r="H18" s="27">
        <v>26</v>
      </c>
      <c r="I18" s="27">
        <v>54</v>
      </c>
      <c r="J18" s="27">
        <v>64</v>
      </c>
      <c r="K18" s="28">
        <f t="shared" si="0"/>
        <v>144</v>
      </c>
    </row>
    <row r="19" spans="1:11" ht="13.5" customHeight="1">
      <c r="A19" s="25" t="s">
        <v>28</v>
      </c>
      <c r="B19" s="26">
        <v>16074502</v>
      </c>
      <c r="C19" s="26">
        <v>177910</v>
      </c>
      <c r="D19" s="26">
        <v>2086</v>
      </c>
      <c r="E19" s="34">
        <v>812</v>
      </c>
      <c r="F19" s="26">
        <v>1758</v>
      </c>
      <c r="G19" s="7"/>
      <c r="H19" s="27">
        <v>137</v>
      </c>
      <c r="I19" s="27">
        <v>108</v>
      </c>
      <c r="J19" s="27">
        <v>46</v>
      </c>
      <c r="K19" s="28">
        <f t="shared" si="0"/>
        <v>291</v>
      </c>
    </row>
    <row r="20" spans="1:11" ht="12.75">
      <c r="A20" s="25" t="s">
        <v>29</v>
      </c>
      <c r="B20" s="26">
        <v>33739126</v>
      </c>
      <c r="C20" s="26">
        <v>471011</v>
      </c>
      <c r="D20" s="26">
        <v>5256</v>
      </c>
      <c r="E20" s="26">
        <v>1667</v>
      </c>
      <c r="F20" s="26">
        <v>4353</v>
      </c>
      <c r="G20" s="7"/>
      <c r="H20" s="27">
        <v>146</v>
      </c>
      <c r="I20" s="27">
        <v>289</v>
      </c>
      <c r="J20" s="27">
        <v>143</v>
      </c>
      <c r="K20" s="28">
        <f t="shared" si="0"/>
        <v>578</v>
      </c>
    </row>
    <row r="21" spans="1:11" ht="12.75">
      <c r="A21" s="25" t="s">
        <v>30</v>
      </c>
      <c r="B21" s="26">
        <v>13984957</v>
      </c>
      <c r="C21" s="26">
        <v>208299</v>
      </c>
      <c r="D21" s="26">
        <v>2238</v>
      </c>
      <c r="E21" s="34">
        <v>634</v>
      </c>
      <c r="F21" s="26">
        <v>2015</v>
      </c>
      <c r="G21" s="7"/>
      <c r="H21" s="27">
        <v>12</v>
      </c>
      <c r="I21" s="27">
        <v>141</v>
      </c>
      <c r="J21" s="27">
        <v>43</v>
      </c>
      <c r="K21" s="28">
        <f t="shared" si="0"/>
        <v>196</v>
      </c>
    </row>
    <row r="22" spans="1:11" ht="12.75">
      <c r="A22" s="25" t="s">
        <v>31</v>
      </c>
      <c r="B22" s="26">
        <v>7198201</v>
      </c>
      <c r="C22" s="26">
        <v>103954</v>
      </c>
      <c r="D22" s="26">
        <v>1219</v>
      </c>
      <c r="E22" s="34">
        <v>363</v>
      </c>
      <c r="F22" s="34">
        <v>709</v>
      </c>
      <c r="G22" s="7"/>
      <c r="H22" s="27">
        <v>61</v>
      </c>
      <c r="I22" s="27">
        <v>100</v>
      </c>
      <c r="J22" s="27">
        <v>32</v>
      </c>
      <c r="K22" s="28">
        <f t="shared" si="0"/>
        <v>193</v>
      </c>
    </row>
    <row r="23" spans="1:11" ht="12.75">
      <c r="A23" s="25" t="s">
        <v>32</v>
      </c>
      <c r="B23" s="26">
        <v>6996990</v>
      </c>
      <c r="C23" s="26">
        <v>111045</v>
      </c>
      <c r="D23" s="26">
        <v>1067</v>
      </c>
      <c r="E23" s="34">
        <v>425</v>
      </c>
      <c r="F23" s="34">
        <v>677</v>
      </c>
      <c r="G23" s="7"/>
      <c r="H23" s="27">
        <v>39</v>
      </c>
      <c r="I23" s="27">
        <v>40</v>
      </c>
      <c r="J23" s="27">
        <v>22</v>
      </c>
      <c r="K23" s="28">
        <f t="shared" si="0"/>
        <v>101</v>
      </c>
    </row>
    <row r="24" spans="1:11" ht="12.75">
      <c r="A24" s="25"/>
      <c r="B24" s="34"/>
      <c r="C24" s="34"/>
      <c r="D24" s="34"/>
      <c r="E24" s="34"/>
      <c r="F24" s="34"/>
      <c r="G24" s="7"/>
      <c r="H24" s="27" t="s">
        <v>37</v>
      </c>
      <c r="I24" s="27" t="s">
        <v>37</v>
      </c>
      <c r="J24" s="27" t="s">
        <v>37</v>
      </c>
      <c r="K24" s="28"/>
    </row>
    <row r="25" spans="1:11" ht="12.75">
      <c r="A25" s="25" t="s">
        <v>127</v>
      </c>
      <c r="B25" s="34">
        <v>116926305</v>
      </c>
      <c r="C25" s="34">
        <v>1727919</v>
      </c>
      <c r="D25" s="34">
        <v>18383</v>
      </c>
      <c r="E25" s="34">
        <v>7964</v>
      </c>
      <c r="F25" s="34">
        <v>15332</v>
      </c>
      <c r="G25" s="7"/>
      <c r="H25" s="27">
        <v>896</v>
      </c>
      <c r="I25" s="27">
        <v>1601</v>
      </c>
      <c r="J25" s="27">
        <v>709</v>
      </c>
      <c r="K25" s="28">
        <f>SUM(H25:J25)</f>
        <v>3206</v>
      </c>
    </row>
    <row r="26" spans="1:11" ht="12.75">
      <c r="A26" s="25" t="s">
        <v>33</v>
      </c>
      <c r="B26" s="26">
        <v>53889</v>
      </c>
      <c r="C26" s="26">
        <v>45047</v>
      </c>
      <c r="D26" s="26">
        <v>59990</v>
      </c>
      <c r="E26" s="26">
        <v>51107</v>
      </c>
      <c r="F26" s="26">
        <v>50921</v>
      </c>
      <c r="G26" s="7"/>
      <c r="H26" s="27">
        <v>37120</v>
      </c>
      <c r="I26" s="27">
        <v>48008</v>
      </c>
      <c r="J26" s="27">
        <v>37450</v>
      </c>
      <c r="K26" s="28">
        <f>((H26*H25)+(I26*I25)+(J26*J25))/K25</f>
        <v>42630.186525265126</v>
      </c>
    </row>
    <row r="27" spans="1:11" ht="12.75">
      <c r="A27" s="25"/>
      <c r="B27" s="26"/>
      <c r="C27" s="26"/>
      <c r="D27" s="26"/>
      <c r="E27" s="26"/>
      <c r="F27" s="26"/>
      <c r="G27" s="7"/>
      <c r="H27" s="27"/>
      <c r="I27" s="27"/>
      <c r="J27" s="27"/>
      <c r="K27" s="28"/>
    </row>
    <row r="28" spans="1:11" ht="12.75">
      <c r="A28" s="25" t="s">
        <v>34</v>
      </c>
      <c r="B28" s="26">
        <v>28930</v>
      </c>
      <c r="C28" s="26">
        <v>24981</v>
      </c>
      <c r="D28" s="26">
        <v>27247</v>
      </c>
      <c r="E28" s="26">
        <v>24071</v>
      </c>
      <c r="F28" s="77">
        <v>22660</v>
      </c>
      <c r="G28" s="5">
        <f>B28*0.8</f>
        <v>23144</v>
      </c>
      <c r="H28" s="37">
        <v>19846</v>
      </c>
      <c r="I28" s="37">
        <v>22945</v>
      </c>
      <c r="J28" s="37">
        <v>16745</v>
      </c>
      <c r="K28" s="38">
        <f>((H28*H5)+(I28*I5)+(J28*J5))/K5</f>
        <v>20644.312418300655</v>
      </c>
    </row>
    <row r="29" spans="1:11" ht="12.75">
      <c r="A29" s="25"/>
      <c r="B29" s="34"/>
      <c r="C29" s="34"/>
      <c r="D29" s="34"/>
      <c r="E29" s="34"/>
      <c r="F29" s="34"/>
      <c r="G29" s="7"/>
      <c r="H29" s="35" t="s">
        <v>37</v>
      </c>
      <c r="I29" s="35" t="s">
        <v>37</v>
      </c>
      <c r="J29" s="35" t="s">
        <v>37</v>
      </c>
      <c r="K29" s="36"/>
    </row>
    <row r="30" spans="1:11" ht="13.5" thickBot="1">
      <c r="A30" s="39" t="s">
        <v>36</v>
      </c>
      <c r="B30" s="40">
        <v>0.155</v>
      </c>
      <c r="C30" s="40">
        <v>0.198</v>
      </c>
      <c r="D30" s="40">
        <v>0.118</v>
      </c>
      <c r="E30" s="40">
        <v>0.18</v>
      </c>
      <c r="F30" s="40">
        <v>0.182</v>
      </c>
      <c r="G30" s="41">
        <v>0.2</v>
      </c>
      <c r="H30" s="42">
        <v>0.384</v>
      </c>
      <c r="I30" s="43">
        <v>0.121</v>
      </c>
      <c r="J30" s="42">
        <v>0.394</v>
      </c>
      <c r="K30" s="44">
        <f>((H30*H5)+(I30*I5)+(J30*J5))/K5</f>
        <v>0.25710219845513965</v>
      </c>
    </row>
    <row r="34" ht="13.5" thickBot="1"/>
    <row r="35" spans="1:11" ht="102" customHeight="1">
      <c r="A35" s="45" t="s">
        <v>13</v>
      </c>
      <c r="B35" s="23" t="s">
        <v>14</v>
      </c>
      <c r="C35" s="23" t="s">
        <v>15</v>
      </c>
      <c r="D35" s="23" t="s">
        <v>48</v>
      </c>
      <c r="E35" s="23" t="s">
        <v>49</v>
      </c>
      <c r="F35" s="23" t="s">
        <v>50</v>
      </c>
      <c r="G35" s="46"/>
      <c r="H35" s="23" t="s">
        <v>51</v>
      </c>
      <c r="I35" s="23" t="s">
        <v>52</v>
      </c>
      <c r="J35" s="23" t="s">
        <v>53</v>
      </c>
      <c r="K35" s="47" t="s">
        <v>54</v>
      </c>
    </row>
    <row r="36" spans="1:11" ht="12.75">
      <c r="A36" s="48" t="s">
        <v>55</v>
      </c>
      <c r="B36" s="27">
        <v>316515021</v>
      </c>
      <c r="C36" s="27">
        <v>4625253</v>
      </c>
      <c r="D36" s="27">
        <v>52639</v>
      </c>
      <c r="E36" s="27">
        <v>21650</v>
      </c>
      <c r="F36" s="27">
        <v>44161</v>
      </c>
      <c r="G36" s="7"/>
      <c r="H36" s="27">
        <v>2314</v>
      </c>
      <c r="I36" s="27">
        <v>4135</v>
      </c>
      <c r="J36" s="27">
        <v>1966</v>
      </c>
      <c r="K36" s="28">
        <f>SUM(H36:J36)</f>
        <v>8415</v>
      </c>
    </row>
    <row r="37" spans="1:11" ht="12.75">
      <c r="A37" s="48" t="s">
        <v>56</v>
      </c>
      <c r="B37" s="27">
        <v>232943055</v>
      </c>
      <c r="C37" s="27">
        <v>2902538</v>
      </c>
      <c r="D37" s="27">
        <v>37152</v>
      </c>
      <c r="E37" s="27">
        <v>10537</v>
      </c>
      <c r="F37" s="27">
        <v>18573</v>
      </c>
      <c r="G37" s="7"/>
      <c r="H37" s="27">
        <v>942</v>
      </c>
      <c r="I37" s="27">
        <v>2634</v>
      </c>
      <c r="J37" s="27">
        <v>171</v>
      </c>
      <c r="K37" s="28">
        <f>SUM(H37:J37)</f>
        <v>3747</v>
      </c>
    </row>
    <row r="38" spans="1:11" ht="12.75">
      <c r="A38" s="49" t="s">
        <v>57</v>
      </c>
      <c r="B38" s="50">
        <f>B37/B36</f>
        <v>0.7359620856667021</v>
      </c>
      <c r="C38" s="50">
        <f aca="true" t="shared" si="1" ref="C38:K38">C37/C36</f>
        <v>0.6275414555701061</v>
      </c>
      <c r="D38" s="50">
        <f t="shared" si="1"/>
        <v>0.7057884838237809</v>
      </c>
      <c r="E38" s="50">
        <f t="shared" si="1"/>
        <v>0.4866974595842956</v>
      </c>
      <c r="F38" s="50">
        <f t="shared" si="1"/>
        <v>0.42057471524648443</v>
      </c>
      <c r="G38" s="7"/>
      <c r="H38" s="50">
        <f t="shared" si="1"/>
        <v>0.4070872947277442</v>
      </c>
      <c r="I38" s="50">
        <f t="shared" si="1"/>
        <v>0.6370012091898428</v>
      </c>
      <c r="J38" s="50">
        <f t="shared" si="1"/>
        <v>0.08697863682604273</v>
      </c>
      <c r="K38" s="51">
        <f t="shared" si="1"/>
        <v>0.44527629233511584</v>
      </c>
    </row>
    <row r="39" spans="1:11" ht="12.75">
      <c r="A39" s="48" t="s">
        <v>58</v>
      </c>
      <c r="B39" s="27">
        <f>B36-B37</f>
        <v>83571966</v>
      </c>
      <c r="C39" s="27">
        <f aca="true" t="shared" si="2" ref="C39:J39">C36-C37</f>
        <v>1722715</v>
      </c>
      <c r="D39" s="27">
        <f t="shared" si="2"/>
        <v>15487</v>
      </c>
      <c r="E39" s="27">
        <f t="shared" si="2"/>
        <v>11113</v>
      </c>
      <c r="F39" s="27">
        <f t="shared" si="2"/>
        <v>25588</v>
      </c>
      <c r="G39" s="7"/>
      <c r="H39" s="27">
        <f t="shared" si="2"/>
        <v>1372</v>
      </c>
      <c r="I39" s="27">
        <f t="shared" si="2"/>
        <v>1501</v>
      </c>
      <c r="J39" s="27">
        <f t="shared" si="2"/>
        <v>1795</v>
      </c>
      <c r="K39" s="28">
        <f>SUM(H39:J39)</f>
        <v>4668</v>
      </c>
    </row>
    <row r="40" spans="1:11" ht="12.75">
      <c r="A40" s="49" t="s">
        <v>59</v>
      </c>
      <c r="B40" s="50">
        <f>B39/B36</f>
        <v>0.26403791433329793</v>
      </c>
      <c r="C40" s="50">
        <f aca="true" t="shared" si="3" ref="C40:K40">C39/C36</f>
        <v>0.3724585444298939</v>
      </c>
      <c r="D40" s="50">
        <f t="shared" si="3"/>
        <v>0.29421151617621916</v>
      </c>
      <c r="E40" s="50">
        <f t="shared" si="3"/>
        <v>0.5133025404157043</v>
      </c>
      <c r="F40" s="50">
        <f t="shared" si="3"/>
        <v>0.5794252847535155</v>
      </c>
      <c r="G40" s="7"/>
      <c r="H40" s="50">
        <f t="shared" si="3"/>
        <v>0.5929127052722558</v>
      </c>
      <c r="I40" s="50">
        <f t="shared" si="3"/>
        <v>0.3629987908101572</v>
      </c>
      <c r="J40" s="50">
        <f t="shared" si="3"/>
        <v>0.9130213631739573</v>
      </c>
      <c r="K40" s="52">
        <f t="shared" si="3"/>
        <v>0.5547237076648841</v>
      </c>
    </row>
    <row r="41" spans="1:11" ht="12.75">
      <c r="A41" s="48" t="s">
        <v>60</v>
      </c>
      <c r="B41" s="27">
        <v>54232205</v>
      </c>
      <c r="C41" s="27">
        <v>218263</v>
      </c>
      <c r="D41" s="27">
        <v>2971</v>
      </c>
      <c r="E41" s="27">
        <v>333</v>
      </c>
      <c r="F41" s="27">
        <v>2333</v>
      </c>
      <c r="G41" s="7"/>
      <c r="H41" s="27">
        <v>0</v>
      </c>
      <c r="I41" s="27">
        <v>291</v>
      </c>
      <c r="J41" s="27">
        <v>0</v>
      </c>
      <c r="K41" s="28">
        <f>SUM(H41:J41)</f>
        <v>291</v>
      </c>
    </row>
    <row r="42" spans="1:11" ht="13.5" thickBot="1">
      <c r="A42" s="53" t="s">
        <v>61</v>
      </c>
      <c r="B42" s="54">
        <f>B41/B36</f>
        <v>0.17134164700511956</v>
      </c>
      <c r="C42" s="54">
        <f aca="true" t="shared" si="4" ref="C42:K42">C41/C36</f>
        <v>0.047189418611262995</v>
      </c>
      <c r="D42" s="54">
        <f t="shared" si="4"/>
        <v>0.05644104181310435</v>
      </c>
      <c r="E42" s="54">
        <f t="shared" si="4"/>
        <v>0.015381062355658198</v>
      </c>
      <c r="F42" s="54">
        <f t="shared" si="4"/>
        <v>0.05282941962364983</v>
      </c>
      <c r="G42" s="55"/>
      <c r="H42" s="54">
        <f t="shared" si="4"/>
        <v>0</v>
      </c>
      <c r="I42" s="54">
        <f t="shared" si="4"/>
        <v>0.07037484885126966</v>
      </c>
      <c r="J42" s="54">
        <f t="shared" si="4"/>
        <v>0</v>
      </c>
      <c r="K42" s="56">
        <f t="shared" si="4"/>
        <v>0.034581105169340466</v>
      </c>
    </row>
    <row r="44" ht="13.5" thickBot="1"/>
    <row r="45" spans="1:11" ht="25.5">
      <c r="A45" s="71" t="s">
        <v>13</v>
      </c>
      <c r="B45" s="59" t="str">
        <f aca="true" t="shared" si="5" ref="B45:E48">H4</f>
        <v>Census Tract 706</v>
      </c>
      <c r="C45" s="59" t="str">
        <f t="shared" si="5"/>
        <v>Census Tract 707</v>
      </c>
      <c r="D45" s="59" t="str">
        <f t="shared" si="5"/>
        <v>Census Tract 708</v>
      </c>
      <c r="E45" s="59" t="str">
        <f t="shared" si="5"/>
        <v>Total Immediate Project Area</v>
      </c>
      <c r="F45" s="59" t="str">
        <f>F4</f>
        <v>St. John the Baptist Parish</v>
      </c>
      <c r="G45" s="59" t="str">
        <f aca="true" t="shared" si="6" ref="G45:H48">D4</f>
        <v>St. Charles Parish</v>
      </c>
      <c r="H45" s="60" t="str">
        <f t="shared" si="6"/>
        <v>St. James Parish</v>
      </c>
      <c r="I45" s="60" t="str">
        <f>C4</f>
        <v>Louisiana</v>
      </c>
      <c r="J45" s="61" t="str">
        <f>B4</f>
        <v>United States</v>
      </c>
      <c r="K45" s="66"/>
    </row>
    <row r="46" spans="1:11" ht="15" customHeight="1">
      <c r="A46" s="25" t="s">
        <v>35</v>
      </c>
      <c r="B46" s="26">
        <f t="shared" si="5"/>
        <v>2314</v>
      </c>
      <c r="C46" s="26">
        <f t="shared" si="5"/>
        <v>4135</v>
      </c>
      <c r="D46" s="26">
        <f t="shared" si="5"/>
        <v>1966</v>
      </c>
      <c r="E46" s="26">
        <f t="shared" si="5"/>
        <v>8415</v>
      </c>
      <c r="F46" s="26">
        <f>F5</f>
        <v>44161</v>
      </c>
      <c r="G46" s="7">
        <f t="shared" si="6"/>
        <v>52639</v>
      </c>
      <c r="H46" s="27">
        <f t="shared" si="6"/>
        <v>21650</v>
      </c>
      <c r="I46" s="27">
        <f>C5</f>
        <v>4625253</v>
      </c>
      <c r="J46" s="28">
        <f>B5</f>
        <v>316515021</v>
      </c>
      <c r="K46" s="64"/>
    </row>
    <row r="47" spans="1:11" ht="15" customHeight="1">
      <c r="A47" s="25" t="s">
        <v>16</v>
      </c>
      <c r="B47" s="26">
        <f t="shared" si="5"/>
        <v>967</v>
      </c>
      <c r="C47" s="26">
        <f t="shared" si="5"/>
        <v>1883</v>
      </c>
      <c r="D47" s="26">
        <f t="shared" si="5"/>
        <v>778</v>
      </c>
      <c r="E47" s="26">
        <f t="shared" si="5"/>
        <v>3628</v>
      </c>
      <c r="F47" s="26">
        <f>F6</f>
        <v>21660</v>
      </c>
      <c r="G47" s="7">
        <f t="shared" si="6"/>
        <v>26863</v>
      </c>
      <c r="H47" s="27">
        <f t="shared" si="6"/>
        <v>10146</v>
      </c>
      <c r="I47" s="27">
        <f>C6</f>
        <v>2194199</v>
      </c>
      <c r="J47" s="28">
        <f>B6</f>
        <v>158897824</v>
      </c>
      <c r="K47" s="64"/>
    </row>
    <row r="48" spans="1:11" ht="15" customHeight="1">
      <c r="A48" s="25" t="s">
        <v>17</v>
      </c>
      <c r="B48" s="29">
        <f t="shared" si="5"/>
        <v>0.223</v>
      </c>
      <c r="C48" s="29">
        <f t="shared" si="5"/>
        <v>0.063</v>
      </c>
      <c r="D48" s="29">
        <f t="shared" si="5"/>
        <v>0.192</v>
      </c>
      <c r="E48" s="29">
        <f t="shared" si="5"/>
        <v>0.13330926130099227</v>
      </c>
      <c r="F48" s="29">
        <f>F7</f>
        <v>0.092</v>
      </c>
      <c r="G48" s="30">
        <f t="shared" si="6"/>
        <v>0.077</v>
      </c>
      <c r="H48" s="32">
        <f t="shared" si="6"/>
        <v>0.11</v>
      </c>
      <c r="I48" s="32">
        <f>C7</f>
        <v>0.081</v>
      </c>
      <c r="J48" s="62">
        <f>B7</f>
        <v>0.083</v>
      </c>
      <c r="K48" s="67"/>
    </row>
    <row r="49" spans="1:11" ht="15" customHeight="1">
      <c r="A49" s="25" t="s">
        <v>18</v>
      </c>
      <c r="B49" s="34">
        <f aca="true" t="shared" si="7" ref="B49:B63">H9</f>
      </c>
      <c r="C49" s="34">
        <f aca="true" t="shared" si="8" ref="C49:C63">I9</f>
      </c>
      <c r="D49" s="34">
        <f aca="true" t="shared" si="9" ref="D49:D63">J9</f>
      </c>
      <c r="E49" s="34">
        <f aca="true" t="shared" si="10" ref="E49:E63">K9</f>
        <v>0</v>
      </c>
      <c r="F49" s="34">
        <f aca="true" t="shared" si="11" ref="F49:F63">F9</f>
        <v>0</v>
      </c>
      <c r="G49" s="7">
        <f aca="true" t="shared" si="12" ref="G49:G63">D9</f>
        <v>0</v>
      </c>
      <c r="H49" s="35">
        <f aca="true" t="shared" si="13" ref="H49:H63">E9</f>
        <v>0</v>
      </c>
      <c r="I49" s="35">
        <f aca="true" t="shared" si="14" ref="I49:I63">C9</f>
        <v>0</v>
      </c>
      <c r="J49" s="36">
        <f aca="true" t="shared" si="15" ref="J49:J63">B9</f>
        <v>0</v>
      </c>
      <c r="K49" s="68"/>
    </row>
    <row r="50" spans="1:11" ht="15" customHeight="1">
      <c r="A50" s="25" t="s">
        <v>19</v>
      </c>
      <c r="B50" s="26">
        <f t="shared" si="7"/>
        <v>751</v>
      </c>
      <c r="C50" s="26">
        <f t="shared" si="8"/>
        <v>1764</v>
      </c>
      <c r="D50" s="26">
        <f t="shared" si="9"/>
        <v>629</v>
      </c>
      <c r="E50" s="26">
        <f t="shared" si="10"/>
        <v>3144</v>
      </c>
      <c r="F50" s="26">
        <f t="shared" si="11"/>
        <v>19661</v>
      </c>
      <c r="G50" s="7">
        <f t="shared" si="12"/>
        <v>24804</v>
      </c>
      <c r="H50" s="27">
        <f t="shared" si="13"/>
        <v>9035</v>
      </c>
      <c r="I50" s="27">
        <f t="shared" si="14"/>
        <v>2016049</v>
      </c>
      <c r="J50" s="28">
        <f t="shared" si="15"/>
        <v>145747779</v>
      </c>
      <c r="K50" s="64"/>
    </row>
    <row r="51" spans="1:11" ht="15" customHeight="1">
      <c r="A51" s="25" t="s">
        <v>20</v>
      </c>
      <c r="B51" s="26">
        <f t="shared" si="7"/>
        <v>4</v>
      </c>
      <c r="C51" s="26">
        <f t="shared" si="8"/>
        <v>41</v>
      </c>
      <c r="D51" s="34">
        <f t="shared" si="9"/>
        <v>0</v>
      </c>
      <c r="E51" s="34">
        <f t="shared" si="10"/>
        <v>45</v>
      </c>
      <c r="F51" s="34">
        <f t="shared" si="11"/>
        <v>317</v>
      </c>
      <c r="G51" s="7">
        <f t="shared" si="12"/>
        <v>240</v>
      </c>
      <c r="H51" s="27">
        <f t="shared" si="13"/>
        <v>247</v>
      </c>
      <c r="I51" s="27">
        <f t="shared" si="14"/>
        <v>94748</v>
      </c>
      <c r="J51" s="28">
        <f t="shared" si="15"/>
        <v>2852402</v>
      </c>
      <c r="K51" s="64"/>
    </row>
    <row r="52" spans="1:11" ht="15" customHeight="1">
      <c r="A52" s="25" t="s">
        <v>21</v>
      </c>
      <c r="B52" s="26">
        <f t="shared" si="7"/>
        <v>34</v>
      </c>
      <c r="C52" s="26">
        <f t="shared" si="8"/>
        <v>175</v>
      </c>
      <c r="D52" s="26">
        <f t="shared" si="9"/>
        <v>90</v>
      </c>
      <c r="E52" s="34">
        <f t="shared" si="10"/>
        <v>299</v>
      </c>
      <c r="F52" s="26">
        <f t="shared" si="11"/>
        <v>1683</v>
      </c>
      <c r="G52" s="7">
        <f t="shared" si="12"/>
        <v>2431</v>
      </c>
      <c r="H52" s="27">
        <f t="shared" si="13"/>
        <v>688</v>
      </c>
      <c r="I52" s="27">
        <f t="shared" si="14"/>
        <v>161968</v>
      </c>
      <c r="J52" s="28">
        <f t="shared" si="15"/>
        <v>9027391</v>
      </c>
      <c r="K52" s="64"/>
    </row>
    <row r="53" spans="1:11" ht="15" customHeight="1">
      <c r="A53" s="25" t="s">
        <v>22</v>
      </c>
      <c r="B53" s="26">
        <f t="shared" si="7"/>
        <v>180</v>
      </c>
      <c r="C53" s="26">
        <f t="shared" si="8"/>
        <v>267</v>
      </c>
      <c r="D53" s="26">
        <f t="shared" si="9"/>
        <v>101</v>
      </c>
      <c r="E53" s="26">
        <f t="shared" si="10"/>
        <v>548</v>
      </c>
      <c r="F53" s="26">
        <f t="shared" si="11"/>
        <v>2701</v>
      </c>
      <c r="G53" s="7">
        <f t="shared" si="12"/>
        <v>3044</v>
      </c>
      <c r="H53" s="27">
        <f t="shared" si="13"/>
        <v>2025</v>
      </c>
      <c r="I53" s="27">
        <f t="shared" si="14"/>
        <v>160133</v>
      </c>
      <c r="J53" s="28">
        <f t="shared" si="15"/>
        <v>15171260</v>
      </c>
      <c r="K53" s="64"/>
    </row>
    <row r="54" spans="1:11" ht="15" customHeight="1">
      <c r="A54" s="25" t="s">
        <v>23</v>
      </c>
      <c r="B54" s="26">
        <f t="shared" si="7"/>
        <v>0</v>
      </c>
      <c r="C54" s="26">
        <f t="shared" si="8"/>
        <v>88</v>
      </c>
      <c r="D54" s="26">
        <f t="shared" si="9"/>
        <v>17</v>
      </c>
      <c r="E54" s="34">
        <f t="shared" si="10"/>
        <v>105</v>
      </c>
      <c r="F54" s="34">
        <f t="shared" si="11"/>
        <v>547</v>
      </c>
      <c r="G54" s="7">
        <f t="shared" si="12"/>
        <v>1095</v>
      </c>
      <c r="H54" s="27">
        <f t="shared" si="13"/>
        <v>188</v>
      </c>
      <c r="I54" s="27">
        <f t="shared" si="14"/>
        <v>52115</v>
      </c>
      <c r="J54" s="28">
        <f t="shared" si="15"/>
        <v>3968627</v>
      </c>
      <c r="K54" s="64"/>
    </row>
    <row r="55" spans="1:11" ht="15" customHeight="1">
      <c r="A55" s="25" t="s">
        <v>24</v>
      </c>
      <c r="B55" s="26">
        <f t="shared" si="7"/>
        <v>67</v>
      </c>
      <c r="C55" s="26">
        <f t="shared" si="8"/>
        <v>288</v>
      </c>
      <c r="D55" s="26">
        <f t="shared" si="9"/>
        <v>14</v>
      </c>
      <c r="E55" s="34">
        <f t="shared" si="10"/>
        <v>369</v>
      </c>
      <c r="F55" s="26">
        <f t="shared" si="11"/>
        <v>2373</v>
      </c>
      <c r="G55" s="7">
        <f t="shared" si="12"/>
        <v>2760</v>
      </c>
      <c r="H55" s="27">
        <f t="shared" si="13"/>
        <v>1040</v>
      </c>
      <c r="I55" s="27">
        <f t="shared" si="14"/>
        <v>234286</v>
      </c>
      <c r="J55" s="28">
        <f t="shared" si="15"/>
        <v>16835942</v>
      </c>
      <c r="K55" s="64"/>
    </row>
    <row r="56" spans="1:11" ht="15" customHeight="1">
      <c r="A56" s="25" t="s">
        <v>25</v>
      </c>
      <c r="B56" s="26">
        <f t="shared" si="7"/>
        <v>26</v>
      </c>
      <c r="C56" s="26">
        <f t="shared" si="8"/>
        <v>135</v>
      </c>
      <c r="D56" s="26">
        <f t="shared" si="9"/>
        <v>33</v>
      </c>
      <c r="E56" s="34">
        <f t="shared" si="10"/>
        <v>194</v>
      </c>
      <c r="F56" s="26">
        <f t="shared" si="11"/>
        <v>1259</v>
      </c>
      <c r="G56" s="7">
        <f t="shared" si="12"/>
        <v>1992</v>
      </c>
      <c r="H56" s="27">
        <f t="shared" si="13"/>
        <v>612</v>
      </c>
      <c r="I56" s="27">
        <f t="shared" si="14"/>
        <v>104920</v>
      </c>
      <c r="J56" s="28">
        <f t="shared" si="15"/>
        <v>7226063</v>
      </c>
      <c r="K56" s="64"/>
    </row>
    <row r="57" spans="1:11" ht="15" customHeight="1">
      <c r="A57" s="25" t="s">
        <v>26</v>
      </c>
      <c r="B57" s="26">
        <f t="shared" si="7"/>
        <v>19</v>
      </c>
      <c r="C57" s="26">
        <f t="shared" si="8"/>
        <v>38</v>
      </c>
      <c r="D57" s="34">
        <f t="shared" si="9"/>
        <v>24</v>
      </c>
      <c r="E57" s="34">
        <f t="shared" si="10"/>
        <v>81</v>
      </c>
      <c r="F57" s="34">
        <f t="shared" si="11"/>
        <v>359</v>
      </c>
      <c r="G57" s="7">
        <f t="shared" si="12"/>
        <v>295</v>
      </c>
      <c r="H57" s="27">
        <f t="shared" si="13"/>
        <v>12</v>
      </c>
      <c r="I57" s="27">
        <f t="shared" si="14"/>
        <v>32446</v>
      </c>
      <c r="J57" s="28">
        <f t="shared" si="15"/>
        <v>3094143</v>
      </c>
      <c r="K57" s="64"/>
    </row>
    <row r="58" spans="1:11" ht="15" customHeight="1">
      <c r="A58" s="25" t="s">
        <v>27</v>
      </c>
      <c r="B58" s="26">
        <f t="shared" si="7"/>
        <v>26</v>
      </c>
      <c r="C58" s="26">
        <f t="shared" si="8"/>
        <v>54</v>
      </c>
      <c r="D58" s="26">
        <f t="shared" si="9"/>
        <v>64</v>
      </c>
      <c r="E58" s="34">
        <f t="shared" si="10"/>
        <v>144</v>
      </c>
      <c r="F58" s="34">
        <f t="shared" si="11"/>
        <v>910</v>
      </c>
      <c r="G58" s="7">
        <f t="shared" si="12"/>
        <v>1081</v>
      </c>
      <c r="H58" s="27">
        <f t="shared" si="13"/>
        <v>322</v>
      </c>
      <c r="I58" s="27">
        <f t="shared" si="14"/>
        <v>103214</v>
      </c>
      <c r="J58" s="28">
        <f t="shared" si="15"/>
        <v>9578175</v>
      </c>
      <c r="K58" s="64"/>
    </row>
    <row r="59" spans="1:11" ht="15" customHeight="1">
      <c r="A59" s="25" t="s">
        <v>28</v>
      </c>
      <c r="B59" s="26">
        <f t="shared" si="7"/>
        <v>137</v>
      </c>
      <c r="C59" s="26">
        <f t="shared" si="8"/>
        <v>108</v>
      </c>
      <c r="D59" s="26">
        <f t="shared" si="9"/>
        <v>46</v>
      </c>
      <c r="E59" s="34">
        <f t="shared" si="10"/>
        <v>291</v>
      </c>
      <c r="F59" s="26">
        <f t="shared" si="11"/>
        <v>1758</v>
      </c>
      <c r="G59" s="7">
        <f t="shared" si="12"/>
        <v>2086</v>
      </c>
      <c r="H59" s="27">
        <f t="shared" si="13"/>
        <v>812</v>
      </c>
      <c r="I59" s="27">
        <f t="shared" si="14"/>
        <v>177910</v>
      </c>
      <c r="J59" s="28">
        <f t="shared" si="15"/>
        <v>16074502</v>
      </c>
      <c r="K59" s="64"/>
    </row>
    <row r="60" spans="1:11" ht="15" customHeight="1">
      <c r="A60" s="25" t="s">
        <v>29</v>
      </c>
      <c r="B60" s="26">
        <f t="shared" si="7"/>
        <v>146</v>
      </c>
      <c r="C60" s="26">
        <f t="shared" si="8"/>
        <v>289</v>
      </c>
      <c r="D60" s="26">
        <f t="shared" si="9"/>
        <v>143</v>
      </c>
      <c r="E60" s="26">
        <f t="shared" si="10"/>
        <v>578</v>
      </c>
      <c r="F60" s="26">
        <f t="shared" si="11"/>
        <v>4353</v>
      </c>
      <c r="G60" s="7">
        <f t="shared" si="12"/>
        <v>5256</v>
      </c>
      <c r="H60" s="27">
        <f t="shared" si="13"/>
        <v>1667</v>
      </c>
      <c r="I60" s="27">
        <f t="shared" si="14"/>
        <v>471011</v>
      </c>
      <c r="J60" s="28">
        <f t="shared" si="15"/>
        <v>33739126</v>
      </c>
      <c r="K60" s="64"/>
    </row>
    <row r="61" spans="1:11" ht="15" customHeight="1">
      <c r="A61" s="25" t="s">
        <v>30</v>
      </c>
      <c r="B61" s="26">
        <f t="shared" si="7"/>
        <v>12</v>
      </c>
      <c r="C61" s="26">
        <f t="shared" si="8"/>
        <v>141</v>
      </c>
      <c r="D61" s="26">
        <f t="shared" si="9"/>
        <v>43</v>
      </c>
      <c r="E61" s="34">
        <f t="shared" si="10"/>
        <v>196</v>
      </c>
      <c r="F61" s="26">
        <f t="shared" si="11"/>
        <v>2015</v>
      </c>
      <c r="G61" s="7">
        <f t="shared" si="12"/>
        <v>2238</v>
      </c>
      <c r="H61" s="27">
        <f t="shared" si="13"/>
        <v>634</v>
      </c>
      <c r="I61" s="27">
        <f t="shared" si="14"/>
        <v>208299</v>
      </c>
      <c r="J61" s="28">
        <f t="shared" si="15"/>
        <v>13984957</v>
      </c>
      <c r="K61" s="64"/>
    </row>
    <row r="62" spans="1:11" ht="15" customHeight="1">
      <c r="A62" s="25" t="s">
        <v>31</v>
      </c>
      <c r="B62" s="26">
        <f t="shared" si="7"/>
        <v>61</v>
      </c>
      <c r="C62" s="26">
        <f t="shared" si="8"/>
        <v>100</v>
      </c>
      <c r="D62" s="26">
        <f t="shared" si="9"/>
        <v>32</v>
      </c>
      <c r="E62" s="34">
        <f t="shared" si="10"/>
        <v>193</v>
      </c>
      <c r="F62" s="34">
        <f t="shared" si="11"/>
        <v>709</v>
      </c>
      <c r="G62" s="7">
        <f t="shared" si="12"/>
        <v>1219</v>
      </c>
      <c r="H62" s="27">
        <f t="shared" si="13"/>
        <v>363</v>
      </c>
      <c r="I62" s="27">
        <f t="shared" si="14"/>
        <v>103954</v>
      </c>
      <c r="J62" s="28">
        <f t="shared" si="15"/>
        <v>7198201</v>
      </c>
      <c r="K62" s="64"/>
    </row>
    <row r="63" spans="1:11" ht="15" customHeight="1">
      <c r="A63" s="25" t="s">
        <v>32</v>
      </c>
      <c r="B63" s="26">
        <f t="shared" si="7"/>
        <v>39</v>
      </c>
      <c r="C63" s="26">
        <f t="shared" si="8"/>
        <v>40</v>
      </c>
      <c r="D63" s="26">
        <f t="shared" si="9"/>
        <v>22</v>
      </c>
      <c r="E63" s="34">
        <f t="shared" si="10"/>
        <v>101</v>
      </c>
      <c r="F63" s="34">
        <f t="shared" si="11"/>
        <v>677</v>
      </c>
      <c r="G63" s="7">
        <f t="shared" si="12"/>
        <v>1067</v>
      </c>
      <c r="H63" s="27">
        <f t="shared" si="13"/>
        <v>425</v>
      </c>
      <c r="I63" s="27">
        <f t="shared" si="14"/>
        <v>111045</v>
      </c>
      <c r="J63" s="28">
        <f t="shared" si="15"/>
        <v>6996990</v>
      </c>
      <c r="K63" s="64"/>
    </row>
    <row r="64" spans="1:11" ht="15" customHeight="1">
      <c r="A64" s="25" t="s">
        <v>127</v>
      </c>
      <c r="B64" s="34">
        <f aca="true" t="shared" si="16" ref="B64:E65">H25</f>
        <v>896</v>
      </c>
      <c r="C64" s="34">
        <f t="shared" si="16"/>
        <v>1601</v>
      </c>
      <c r="D64" s="34">
        <f t="shared" si="16"/>
        <v>709</v>
      </c>
      <c r="E64" s="34">
        <f t="shared" si="16"/>
        <v>3206</v>
      </c>
      <c r="F64" s="34">
        <f>F25</f>
        <v>15332</v>
      </c>
      <c r="G64" s="7">
        <f>D25</f>
        <v>18383</v>
      </c>
      <c r="H64" s="27">
        <f>E25</f>
        <v>7964</v>
      </c>
      <c r="I64" s="27">
        <f>C25</f>
        <v>1727919</v>
      </c>
      <c r="J64" s="28">
        <f>B25</f>
        <v>116926305</v>
      </c>
      <c r="K64" s="64"/>
    </row>
    <row r="65" spans="1:11" ht="15" customHeight="1">
      <c r="A65" s="25" t="s">
        <v>33</v>
      </c>
      <c r="B65" s="26">
        <f t="shared" si="16"/>
        <v>37120</v>
      </c>
      <c r="C65" s="26">
        <f t="shared" si="16"/>
        <v>48008</v>
      </c>
      <c r="D65" s="26">
        <f t="shared" si="16"/>
        <v>37450</v>
      </c>
      <c r="E65" s="26">
        <f t="shared" si="16"/>
        <v>42630.186525265126</v>
      </c>
      <c r="F65" s="26">
        <f>F26</f>
        <v>50921</v>
      </c>
      <c r="G65" s="7">
        <f>D26</f>
        <v>59990</v>
      </c>
      <c r="H65" s="27">
        <f>E26</f>
        <v>51107</v>
      </c>
      <c r="I65" s="27">
        <f>C26</f>
        <v>45047</v>
      </c>
      <c r="J65" s="28">
        <f>B26</f>
        <v>53889</v>
      </c>
      <c r="K65" s="64"/>
    </row>
    <row r="66" spans="1:11" ht="15" customHeight="1">
      <c r="A66" s="25" t="s">
        <v>171</v>
      </c>
      <c r="B66" s="26">
        <f>H28</f>
        <v>19846</v>
      </c>
      <c r="C66" s="26">
        <f>I28</f>
        <v>22945</v>
      </c>
      <c r="D66" s="26">
        <f>J28</f>
        <v>16745</v>
      </c>
      <c r="E66" s="26">
        <f>K28</f>
        <v>20644.312418300655</v>
      </c>
      <c r="F66" s="26">
        <f>F28</f>
        <v>22660</v>
      </c>
      <c r="G66" s="5">
        <f>D28</f>
        <v>27247</v>
      </c>
      <c r="H66" s="27">
        <f>E28</f>
        <v>24071</v>
      </c>
      <c r="I66" s="27">
        <f>C28</f>
        <v>24981</v>
      </c>
      <c r="J66" s="28">
        <f>B28</f>
        <v>28930</v>
      </c>
      <c r="K66" s="64"/>
    </row>
    <row r="67" spans="1:11" ht="15" customHeight="1" thickBot="1">
      <c r="A67" s="39" t="s">
        <v>36</v>
      </c>
      <c r="B67" s="40">
        <f>H30</f>
        <v>0.384</v>
      </c>
      <c r="C67" s="40">
        <f>I30</f>
        <v>0.121</v>
      </c>
      <c r="D67" s="40">
        <f>J30</f>
        <v>0.394</v>
      </c>
      <c r="E67" s="40">
        <f>K30</f>
        <v>0.25710219845513965</v>
      </c>
      <c r="F67" s="40">
        <f>F30</f>
        <v>0.182</v>
      </c>
      <c r="G67" s="41">
        <f>D30</f>
        <v>0.118</v>
      </c>
      <c r="H67" s="43">
        <f>E30</f>
        <v>0.18</v>
      </c>
      <c r="I67" s="43">
        <f>C30</f>
        <v>0.198</v>
      </c>
      <c r="J67" s="63">
        <f>B30</f>
        <v>0.155</v>
      </c>
      <c r="K67" s="67"/>
    </row>
    <row r="68" ht="12.75">
      <c r="K68" s="2"/>
    </row>
    <row r="69" ht="12.75">
      <c r="K69" s="2"/>
    </row>
    <row r="70" ht="12.75">
      <c r="K70" s="2"/>
    </row>
    <row r="71" ht="13.5" thickBot="1">
      <c r="K71" s="2"/>
    </row>
    <row r="72" spans="1:11" s="15" customFormat="1" ht="29.25" customHeight="1">
      <c r="A72" s="72" t="s">
        <v>13</v>
      </c>
      <c r="B72" s="59" t="str">
        <f>B45</f>
        <v>Census Tract 706</v>
      </c>
      <c r="C72" s="59" t="str">
        <f aca="true" t="shared" si="17" ref="C72:J72">C45</f>
        <v>Census Tract 707</v>
      </c>
      <c r="D72" s="59" t="str">
        <f t="shared" si="17"/>
        <v>Census Tract 708</v>
      </c>
      <c r="E72" s="59" t="str">
        <f t="shared" si="17"/>
        <v>Total Immediate Project Area</v>
      </c>
      <c r="F72" s="59" t="str">
        <f t="shared" si="17"/>
        <v>St. John the Baptist Parish</v>
      </c>
      <c r="G72" s="59" t="str">
        <f t="shared" si="17"/>
        <v>St. Charles Parish</v>
      </c>
      <c r="H72" s="60" t="str">
        <f t="shared" si="17"/>
        <v>St. James Parish</v>
      </c>
      <c r="I72" s="60" t="str">
        <f t="shared" si="17"/>
        <v>Louisiana</v>
      </c>
      <c r="J72" s="61" t="str">
        <f t="shared" si="17"/>
        <v>United States</v>
      </c>
      <c r="K72" s="66"/>
    </row>
    <row r="73" spans="1:11" ht="12.75">
      <c r="A73" s="48" t="s">
        <v>55</v>
      </c>
      <c r="B73" s="26">
        <f aca="true" t="shared" si="18" ref="B73:E79">H36</f>
        <v>2314</v>
      </c>
      <c r="C73" s="26">
        <f t="shared" si="18"/>
        <v>4135</v>
      </c>
      <c r="D73" s="26">
        <f t="shared" si="18"/>
        <v>1966</v>
      </c>
      <c r="E73" s="26">
        <f t="shared" si="18"/>
        <v>8415</v>
      </c>
      <c r="F73" s="26">
        <f aca="true" t="shared" si="19" ref="F73:F79">F36</f>
        <v>44161</v>
      </c>
      <c r="G73" s="26">
        <f aca="true" t="shared" si="20" ref="G73:H79">D36</f>
        <v>52639</v>
      </c>
      <c r="H73" s="27">
        <f t="shared" si="20"/>
        <v>21650</v>
      </c>
      <c r="I73" s="27">
        <f aca="true" t="shared" si="21" ref="I73:I79">C36</f>
        <v>4625253</v>
      </c>
      <c r="J73" s="28">
        <f aca="true" t="shared" si="22" ref="J73:J79">B36</f>
        <v>316515021</v>
      </c>
      <c r="K73" s="64"/>
    </row>
    <row r="74" spans="1:11" ht="12.75">
      <c r="A74" s="48" t="s">
        <v>56</v>
      </c>
      <c r="B74" s="26">
        <f t="shared" si="18"/>
        <v>942</v>
      </c>
      <c r="C74" s="26">
        <f t="shared" si="18"/>
        <v>2634</v>
      </c>
      <c r="D74" s="26">
        <f t="shared" si="18"/>
        <v>171</v>
      </c>
      <c r="E74" s="26">
        <f t="shared" si="18"/>
        <v>3747</v>
      </c>
      <c r="F74" s="26">
        <f t="shared" si="19"/>
        <v>18573</v>
      </c>
      <c r="G74" s="26">
        <f t="shared" si="20"/>
        <v>37152</v>
      </c>
      <c r="H74" s="27">
        <f t="shared" si="20"/>
        <v>10537</v>
      </c>
      <c r="I74" s="27">
        <f t="shared" si="21"/>
        <v>2902538</v>
      </c>
      <c r="J74" s="28">
        <f t="shared" si="22"/>
        <v>232943055</v>
      </c>
      <c r="K74" s="64"/>
    </row>
    <row r="75" spans="1:11" ht="12.75">
      <c r="A75" s="49" t="s">
        <v>57</v>
      </c>
      <c r="B75" s="69">
        <f t="shared" si="18"/>
        <v>0.4070872947277442</v>
      </c>
      <c r="C75" s="69">
        <f t="shared" si="18"/>
        <v>0.6370012091898428</v>
      </c>
      <c r="D75" s="69">
        <f t="shared" si="18"/>
        <v>0.08697863682604273</v>
      </c>
      <c r="E75" s="69">
        <f t="shared" si="18"/>
        <v>0.44527629233511584</v>
      </c>
      <c r="F75" s="69">
        <f t="shared" si="19"/>
        <v>0.42057471524648443</v>
      </c>
      <c r="G75" s="69">
        <f t="shared" si="20"/>
        <v>0.7057884838237809</v>
      </c>
      <c r="H75" s="50">
        <f t="shared" si="20"/>
        <v>0.4866974595842956</v>
      </c>
      <c r="I75" s="50">
        <f t="shared" si="21"/>
        <v>0.6275414555701061</v>
      </c>
      <c r="J75" s="51">
        <f t="shared" si="22"/>
        <v>0.7359620856667021</v>
      </c>
      <c r="K75" s="65"/>
    </row>
    <row r="76" spans="1:11" ht="12.75">
      <c r="A76" s="48" t="s">
        <v>58</v>
      </c>
      <c r="B76" s="26">
        <f t="shared" si="18"/>
        <v>1372</v>
      </c>
      <c r="C76" s="26">
        <f t="shared" si="18"/>
        <v>1501</v>
      </c>
      <c r="D76" s="26">
        <f t="shared" si="18"/>
        <v>1795</v>
      </c>
      <c r="E76" s="26">
        <f t="shared" si="18"/>
        <v>4668</v>
      </c>
      <c r="F76" s="26">
        <f t="shared" si="19"/>
        <v>25588</v>
      </c>
      <c r="G76" s="26">
        <f t="shared" si="20"/>
        <v>15487</v>
      </c>
      <c r="H76" s="27">
        <f t="shared" si="20"/>
        <v>11113</v>
      </c>
      <c r="I76" s="27">
        <f t="shared" si="21"/>
        <v>1722715</v>
      </c>
      <c r="J76" s="28">
        <f t="shared" si="22"/>
        <v>83571966</v>
      </c>
      <c r="K76" s="64"/>
    </row>
    <row r="77" spans="1:11" ht="12.75">
      <c r="A77" s="49" t="s">
        <v>59</v>
      </c>
      <c r="B77" s="69">
        <f t="shared" si="18"/>
        <v>0.5929127052722558</v>
      </c>
      <c r="C77" s="69">
        <f t="shared" si="18"/>
        <v>0.3629987908101572</v>
      </c>
      <c r="D77" s="69">
        <f t="shared" si="18"/>
        <v>0.9130213631739573</v>
      </c>
      <c r="E77" s="69">
        <f t="shared" si="18"/>
        <v>0.5547237076648841</v>
      </c>
      <c r="F77" s="69">
        <f t="shared" si="19"/>
        <v>0.5794252847535155</v>
      </c>
      <c r="G77" s="69">
        <f t="shared" si="20"/>
        <v>0.29421151617621916</v>
      </c>
      <c r="H77" s="50">
        <f t="shared" si="20"/>
        <v>0.5133025404157043</v>
      </c>
      <c r="I77" s="50">
        <f t="shared" si="21"/>
        <v>0.3724585444298939</v>
      </c>
      <c r="J77" s="51">
        <f t="shared" si="22"/>
        <v>0.26403791433329793</v>
      </c>
      <c r="K77" s="65"/>
    </row>
    <row r="78" spans="1:11" ht="12.75">
      <c r="A78" s="48" t="s">
        <v>60</v>
      </c>
      <c r="B78" s="26">
        <f t="shared" si="18"/>
        <v>0</v>
      </c>
      <c r="C78" s="26">
        <f t="shared" si="18"/>
        <v>291</v>
      </c>
      <c r="D78" s="26">
        <f t="shared" si="18"/>
        <v>0</v>
      </c>
      <c r="E78" s="26">
        <f t="shared" si="18"/>
        <v>291</v>
      </c>
      <c r="F78" s="26">
        <f t="shared" si="19"/>
        <v>2333</v>
      </c>
      <c r="G78" s="26">
        <f t="shared" si="20"/>
        <v>2971</v>
      </c>
      <c r="H78" s="27">
        <f t="shared" si="20"/>
        <v>333</v>
      </c>
      <c r="I78" s="27">
        <f t="shared" si="21"/>
        <v>218263</v>
      </c>
      <c r="J78" s="28">
        <f t="shared" si="22"/>
        <v>54232205</v>
      </c>
      <c r="K78" s="64"/>
    </row>
    <row r="79" spans="1:11" ht="13.5" thickBot="1">
      <c r="A79" s="53" t="s">
        <v>61</v>
      </c>
      <c r="B79" s="70">
        <f t="shared" si="18"/>
        <v>0</v>
      </c>
      <c r="C79" s="70">
        <f t="shared" si="18"/>
        <v>0.07037484885126966</v>
      </c>
      <c r="D79" s="70">
        <f t="shared" si="18"/>
        <v>0</v>
      </c>
      <c r="E79" s="70">
        <f t="shared" si="18"/>
        <v>0.034581105169340466</v>
      </c>
      <c r="F79" s="70">
        <f t="shared" si="19"/>
        <v>0.05282941962364983</v>
      </c>
      <c r="G79" s="70">
        <f t="shared" si="20"/>
        <v>0.05644104181310435</v>
      </c>
      <c r="H79" s="54">
        <f t="shared" si="20"/>
        <v>0.015381062355658198</v>
      </c>
      <c r="I79" s="54">
        <f t="shared" si="21"/>
        <v>0.047189418611262995</v>
      </c>
      <c r="J79" s="56">
        <f t="shared" si="22"/>
        <v>0.17134164700511956</v>
      </c>
      <c r="K79" s="65"/>
    </row>
    <row r="80" ht="12.75">
      <c r="K80" s="2"/>
    </row>
    <row r="83" spans="1:6" ht="12.75">
      <c r="A83" s="730" t="s">
        <v>172</v>
      </c>
      <c r="B83" s="730"/>
      <c r="C83" s="730"/>
      <c r="D83" s="730"/>
      <c r="E83" s="730"/>
      <c r="F83" s="730"/>
    </row>
    <row r="84" spans="1:6" ht="25.5">
      <c r="A84" s="57" t="s">
        <v>173</v>
      </c>
      <c r="B84" s="57" t="s">
        <v>14</v>
      </c>
      <c r="C84" s="57" t="s">
        <v>15</v>
      </c>
      <c r="D84" s="57" t="s">
        <v>42</v>
      </c>
      <c r="E84" s="57" t="s">
        <v>43</v>
      </c>
      <c r="F84" s="57" t="s">
        <v>44</v>
      </c>
    </row>
    <row r="85" spans="1:6" ht="12.75">
      <c r="A85" s="58" t="s">
        <v>35</v>
      </c>
      <c r="B85" s="74">
        <v>316515021</v>
      </c>
      <c r="C85" s="74">
        <v>4625253</v>
      </c>
      <c r="D85" s="74">
        <v>52639</v>
      </c>
      <c r="E85" s="74">
        <v>21650</v>
      </c>
      <c r="F85" s="74">
        <v>44161</v>
      </c>
    </row>
    <row r="86" spans="1:6" ht="12.75">
      <c r="A86" s="58" t="s">
        <v>174</v>
      </c>
      <c r="B86" s="74">
        <v>155724280</v>
      </c>
      <c r="C86" s="74">
        <v>2261156</v>
      </c>
      <c r="D86" s="74">
        <v>25699</v>
      </c>
      <c r="E86" s="74">
        <v>10426</v>
      </c>
      <c r="F86" s="74">
        <v>21467</v>
      </c>
    </row>
    <row r="87" spans="1:6" ht="12.75">
      <c r="A87" s="58" t="s">
        <v>175</v>
      </c>
      <c r="B87" s="74">
        <v>160790741</v>
      </c>
      <c r="C87" s="74">
        <v>2364097</v>
      </c>
      <c r="D87" s="74">
        <v>26940</v>
      </c>
      <c r="E87" s="74">
        <v>11224</v>
      </c>
      <c r="F87" s="74">
        <v>22694</v>
      </c>
    </row>
    <row r="88" spans="1:6" ht="12.75">
      <c r="A88" s="58" t="s">
        <v>56</v>
      </c>
      <c r="B88" s="74">
        <v>232943055</v>
      </c>
      <c r="C88" s="74">
        <v>2902538</v>
      </c>
      <c r="D88" s="74">
        <v>37152</v>
      </c>
      <c r="E88" s="74">
        <v>10537</v>
      </c>
      <c r="F88" s="74">
        <v>18573</v>
      </c>
    </row>
    <row r="89" spans="1:6" ht="12.75">
      <c r="A89" s="58" t="s">
        <v>176</v>
      </c>
      <c r="B89" s="74">
        <v>39908095</v>
      </c>
      <c r="C89" s="74">
        <v>1484363</v>
      </c>
      <c r="D89" s="74">
        <v>13867</v>
      </c>
      <c r="E89" s="74">
        <v>10893</v>
      </c>
      <c r="F89" s="74">
        <v>23999</v>
      </c>
    </row>
    <row r="90" spans="1:6" ht="12.75">
      <c r="A90" s="58" t="s">
        <v>177</v>
      </c>
      <c r="B90" s="74">
        <v>2569170</v>
      </c>
      <c r="C90" s="74">
        <v>27238</v>
      </c>
      <c r="D90" s="74">
        <v>104</v>
      </c>
      <c r="E90" s="74">
        <v>28</v>
      </c>
      <c r="F90" s="74">
        <v>30</v>
      </c>
    </row>
    <row r="91" spans="1:6" ht="12.75">
      <c r="A91" s="58" t="s">
        <v>178</v>
      </c>
      <c r="B91" s="74">
        <v>16235305</v>
      </c>
      <c r="C91" s="74">
        <v>77818</v>
      </c>
      <c r="D91" s="74">
        <v>582</v>
      </c>
      <c r="E91" s="74">
        <v>12</v>
      </c>
      <c r="F91" s="74">
        <v>210</v>
      </c>
    </row>
    <row r="92" spans="1:6" ht="12.75">
      <c r="A92" s="58" t="s">
        <v>179</v>
      </c>
      <c r="B92" s="74">
        <v>546255</v>
      </c>
      <c r="C92" s="74">
        <v>1824</v>
      </c>
      <c r="D92" s="74">
        <v>15</v>
      </c>
      <c r="E92" s="74">
        <v>0</v>
      </c>
      <c r="F92" s="74">
        <v>120</v>
      </c>
    </row>
    <row r="93" spans="1:6" ht="12.75">
      <c r="A93" s="58" t="s">
        <v>180</v>
      </c>
      <c r="B93" s="74">
        <v>9447883</v>
      </c>
      <c r="C93" s="74">
        <v>83877</v>
      </c>
      <c r="D93" s="74">
        <v>562</v>
      </c>
      <c r="E93" s="74">
        <v>129</v>
      </c>
      <c r="F93" s="74">
        <v>794</v>
      </c>
    </row>
    <row r="94" spans="1:6" ht="12.75">
      <c r="A94" s="58" t="s">
        <v>181</v>
      </c>
      <c r="B94" s="74">
        <v>54232205</v>
      </c>
      <c r="C94" s="74">
        <v>218263</v>
      </c>
      <c r="D94" s="74">
        <v>2971</v>
      </c>
      <c r="E94" s="74">
        <v>333</v>
      </c>
      <c r="F94" s="74">
        <v>2333</v>
      </c>
    </row>
    <row r="95" spans="1:6" ht="12.75">
      <c r="A95" s="58" t="s">
        <v>182</v>
      </c>
      <c r="B95" s="74">
        <v>183233428</v>
      </c>
      <c r="C95" s="74">
        <v>2535109</v>
      </c>
      <c r="D95" s="74">
        <v>30096</v>
      </c>
      <c r="E95" s="74">
        <v>12179</v>
      </c>
      <c r="F95" s="74">
        <v>23714</v>
      </c>
    </row>
    <row r="96" spans="1:6" ht="12.75">
      <c r="A96" s="58" t="s">
        <v>183</v>
      </c>
      <c r="B96" s="74">
        <v>62952272</v>
      </c>
      <c r="C96" s="74">
        <v>685312</v>
      </c>
      <c r="D96" s="74">
        <v>6998</v>
      </c>
      <c r="E96" s="74">
        <v>2056</v>
      </c>
      <c r="F96" s="74">
        <v>4744</v>
      </c>
    </row>
    <row r="97" spans="1:6" ht="12.75">
      <c r="A97" s="58" t="s">
        <v>184</v>
      </c>
      <c r="B97" s="74">
        <v>49059828.255</v>
      </c>
      <c r="C97" s="74">
        <v>915800.094</v>
      </c>
      <c r="D97" s="74">
        <v>6211.402</v>
      </c>
      <c r="E97" s="74">
        <v>3897</v>
      </c>
      <c r="F97" s="74">
        <v>8037.302</v>
      </c>
    </row>
    <row r="98" spans="1:6" ht="12.75">
      <c r="A98" s="731" t="s">
        <v>185</v>
      </c>
      <c r="B98" s="731"/>
      <c r="C98" s="731"/>
      <c r="D98" s="731"/>
      <c r="E98" s="731"/>
      <c r="F98" s="731"/>
    </row>
    <row r="100" spans="1:6" ht="12.75">
      <c r="A100" s="730" t="s">
        <v>172</v>
      </c>
      <c r="B100" s="730"/>
      <c r="C100" s="730"/>
      <c r="D100" s="730"/>
      <c r="E100" s="730"/>
      <c r="F100" s="730"/>
    </row>
    <row r="101" spans="1:6" ht="25.5">
      <c r="A101" s="57" t="s">
        <v>173</v>
      </c>
      <c r="B101" s="57" t="s">
        <v>14</v>
      </c>
      <c r="C101" s="57" t="s">
        <v>15</v>
      </c>
      <c r="D101" s="57" t="s">
        <v>42</v>
      </c>
      <c r="E101" s="57" t="s">
        <v>43</v>
      </c>
      <c r="F101" s="57" t="s">
        <v>44</v>
      </c>
    </row>
    <row r="102" spans="1:6" ht="12.75">
      <c r="A102" s="58" t="s">
        <v>35</v>
      </c>
      <c r="B102" s="74">
        <v>316515021</v>
      </c>
      <c r="C102" s="74">
        <v>4625253</v>
      </c>
      <c r="D102" s="74">
        <v>52639</v>
      </c>
      <c r="E102" s="74">
        <v>21650</v>
      </c>
      <c r="F102" s="74">
        <v>44161</v>
      </c>
    </row>
    <row r="103" spans="1:6" ht="12.75">
      <c r="A103" s="58" t="s">
        <v>174</v>
      </c>
      <c r="B103" s="75">
        <f>B86/B$85</f>
        <v>0.4919964920085104</v>
      </c>
      <c r="C103" s="75">
        <f>C86/C$85</f>
        <v>0.48887185198301586</v>
      </c>
      <c r="D103" s="75">
        <f>D86/D$85</f>
        <v>0.488212162085146</v>
      </c>
      <c r="E103" s="75">
        <f>E86/E$85</f>
        <v>0.48157043879907624</v>
      </c>
      <c r="F103" s="75">
        <f>F86/F$85</f>
        <v>0.48610765154774577</v>
      </c>
    </row>
    <row r="104" spans="1:6" ht="12.75">
      <c r="A104" s="58" t="s">
        <v>175</v>
      </c>
      <c r="B104" s="75">
        <f aca="true" t="shared" si="23" ref="B104:F114">B87/B$85</f>
        <v>0.5080035079914896</v>
      </c>
      <c r="C104" s="75">
        <f t="shared" si="23"/>
        <v>0.5111281480169841</v>
      </c>
      <c r="D104" s="75">
        <f t="shared" si="23"/>
        <v>0.511787837914854</v>
      </c>
      <c r="E104" s="75">
        <f t="shared" si="23"/>
        <v>0.5184295612009238</v>
      </c>
      <c r="F104" s="75">
        <f t="shared" si="23"/>
        <v>0.5138923484522543</v>
      </c>
    </row>
    <row r="105" spans="1:6" ht="12.75">
      <c r="A105" s="58" t="s">
        <v>56</v>
      </c>
      <c r="B105" s="75">
        <f t="shared" si="23"/>
        <v>0.7359620856667021</v>
      </c>
      <c r="C105" s="75">
        <f t="shared" si="23"/>
        <v>0.6275414555701061</v>
      </c>
      <c r="D105" s="75">
        <f t="shared" si="23"/>
        <v>0.7057884838237809</v>
      </c>
      <c r="E105" s="75">
        <f t="shared" si="23"/>
        <v>0.4866974595842956</v>
      </c>
      <c r="F105" s="75">
        <f t="shared" si="23"/>
        <v>0.42057471524648443</v>
      </c>
    </row>
    <row r="106" spans="1:6" ht="12.75">
      <c r="A106" s="58" t="s">
        <v>176</v>
      </c>
      <c r="B106" s="75">
        <f t="shared" si="23"/>
        <v>0.12608594332715728</v>
      </c>
      <c r="C106" s="75">
        <f t="shared" si="23"/>
        <v>0.3209257958429517</v>
      </c>
      <c r="D106" s="75">
        <f t="shared" si="23"/>
        <v>0.26343585554436827</v>
      </c>
      <c r="E106" s="75">
        <f t="shared" si="23"/>
        <v>0.5031408775981524</v>
      </c>
      <c r="F106" s="75">
        <f t="shared" si="23"/>
        <v>0.5434433097076606</v>
      </c>
    </row>
    <row r="107" spans="1:6" ht="12.75">
      <c r="A107" s="58" t="s">
        <v>177</v>
      </c>
      <c r="B107" s="75">
        <f t="shared" si="23"/>
        <v>0.008117055525146783</v>
      </c>
      <c r="C107" s="75">
        <f t="shared" si="23"/>
        <v>0.0058889751544402005</v>
      </c>
      <c r="D107" s="75">
        <f t="shared" si="23"/>
        <v>0.0019757214232793176</v>
      </c>
      <c r="E107" s="75">
        <f t="shared" si="23"/>
        <v>0.0012933025404157045</v>
      </c>
      <c r="F107" s="75">
        <f t="shared" si="23"/>
        <v>0.0006793324426530196</v>
      </c>
    </row>
    <row r="108" spans="1:6" ht="12.75">
      <c r="A108" s="58" t="s">
        <v>178</v>
      </c>
      <c r="B108" s="75">
        <f t="shared" si="23"/>
        <v>0.05129394791029523</v>
      </c>
      <c r="C108" s="75">
        <f t="shared" si="23"/>
        <v>0.016824593162795637</v>
      </c>
      <c r="D108" s="75">
        <f t="shared" si="23"/>
        <v>0.011056441041813104</v>
      </c>
      <c r="E108" s="75">
        <f t="shared" si="23"/>
        <v>0.0005542725173210162</v>
      </c>
      <c r="F108" s="75">
        <f t="shared" si="23"/>
        <v>0.0047553270985711375</v>
      </c>
    </row>
    <row r="109" spans="1:6" ht="12.75">
      <c r="A109" s="58" t="s">
        <v>179</v>
      </c>
      <c r="B109" s="75">
        <f t="shared" si="23"/>
        <v>0.00172584226263309</v>
      </c>
      <c r="C109" s="75">
        <f t="shared" si="23"/>
        <v>0.00039435680599526126</v>
      </c>
      <c r="D109" s="75">
        <f t="shared" si="23"/>
        <v>0.0002849598206652862</v>
      </c>
      <c r="E109" s="75">
        <f t="shared" si="23"/>
        <v>0</v>
      </c>
      <c r="F109" s="75">
        <f t="shared" si="23"/>
        <v>0.0027173297706120786</v>
      </c>
    </row>
    <row r="110" spans="1:6" ht="12.75">
      <c r="A110" s="58" t="s">
        <v>180</v>
      </c>
      <c r="B110" s="75">
        <f t="shared" si="23"/>
        <v>0.02984971446268264</v>
      </c>
      <c r="C110" s="75">
        <f t="shared" si="23"/>
        <v>0.018134575557272218</v>
      </c>
      <c r="D110" s="75">
        <f t="shared" si="23"/>
        <v>0.01067649461425939</v>
      </c>
      <c r="E110" s="75">
        <f t="shared" si="23"/>
        <v>0.005958429561200924</v>
      </c>
      <c r="F110" s="75">
        <f t="shared" si="23"/>
        <v>0.01797966531554992</v>
      </c>
    </row>
    <row r="111" spans="1:6" ht="12.75">
      <c r="A111" s="58" t="s">
        <v>181</v>
      </c>
      <c r="B111" s="75">
        <f t="shared" si="23"/>
        <v>0.17134164700511956</v>
      </c>
      <c r="C111" s="75">
        <f t="shared" si="23"/>
        <v>0.047189418611262995</v>
      </c>
      <c r="D111" s="75">
        <f t="shared" si="23"/>
        <v>0.05644104181310435</v>
      </c>
      <c r="E111" s="75">
        <f t="shared" si="23"/>
        <v>0.015381062355658198</v>
      </c>
      <c r="F111" s="75">
        <f t="shared" si="23"/>
        <v>0.05282941962364983</v>
      </c>
    </row>
    <row r="112" spans="1:6" ht="12.75">
      <c r="A112" s="58" t="s">
        <v>182</v>
      </c>
      <c r="B112" s="75">
        <f t="shared" si="23"/>
        <v>0.5789091064970342</v>
      </c>
      <c r="C112" s="75">
        <f t="shared" si="23"/>
        <v>0.548101693031711</v>
      </c>
      <c r="D112" s="75">
        <f t="shared" si="23"/>
        <v>0.5717433841828302</v>
      </c>
      <c r="E112" s="75">
        <f t="shared" si="23"/>
        <v>0.562540415704388</v>
      </c>
      <c r="F112" s="75">
        <f t="shared" si="23"/>
        <v>0.5369896515024569</v>
      </c>
    </row>
    <row r="113" spans="1:6" ht="12.75">
      <c r="A113" s="58" t="s">
        <v>183</v>
      </c>
      <c r="B113" s="75">
        <f>B96/B$85</f>
        <v>0.19889189398060195</v>
      </c>
      <c r="C113" s="75">
        <f>C96/C$85</f>
        <v>0.1481674624069213</v>
      </c>
      <c r="D113" s="75">
        <f>D96/D$85</f>
        <v>0.13294325500104484</v>
      </c>
      <c r="E113" s="75">
        <f>E96/E$85</f>
        <v>0.09496535796766743</v>
      </c>
      <c r="F113" s="75">
        <f>F96/F$85</f>
        <v>0.1074251035981975</v>
      </c>
    </row>
    <row r="114" spans="1:6" ht="12.75">
      <c r="A114" s="58" t="s">
        <v>184</v>
      </c>
      <c r="B114" s="75">
        <f t="shared" si="23"/>
        <v>0.155</v>
      </c>
      <c r="C114" s="75">
        <f t="shared" si="23"/>
        <v>0.198</v>
      </c>
      <c r="D114" s="75">
        <f t="shared" si="23"/>
        <v>0.11800000000000001</v>
      </c>
      <c r="E114" s="75">
        <f t="shared" si="23"/>
        <v>0.18</v>
      </c>
      <c r="F114" s="75">
        <f t="shared" si="23"/>
        <v>0.182</v>
      </c>
    </row>
    <row r="115" spans="1:6" ht="12.75">
      <c r="A115" s="731" t="s">
        <v>185</v>
      </c>
      <c r="B115" s="731"/>
      <c r="C115" s="731"/>
      <c r="D115" s="731"/>
      <c r="E115" s="731"/>
      <c r="F115" s="731"/>
    </row>
    <row r="116" spans="2:5" ht="12.75">
      <c r="B116" s="73"/>
      <c r="C116" s="73"/>
      <c r="D116" s="1"/>
      <c r="E116" s="1"/>
    </row>
    <row r="117" spans="2:5" ht="12.75">
      <c r="B117" s="73"/>
      <c r="C117" s="73"/>
      <c r="D117" s="1"/>
      <c r="E117" s="1"/>
    </row>
    <row r="118" spans="2:5" ht="12.75">
      <c r="B118" s="73"/>
      <c r="C118" s="73"/>
      <c r="D118" s="1"/>
      <c r="E118" s="1"/>
    </row>
    <row r="119" ht="12.75">
      <c r="E119" s="1"/>
    </row>
  </sheetData>
  <sheetProtection/>
  <mergeCells count="6">
    <mergeCell ref="A2:K2"/>
    <mergeCell ref="A1:K1"/>
    <mergeCell ref="A83:F83"/>
    <mergeCell ref="A98:F98"/>
    <mergeCell ref="A100:F100"/>
    <mergeCell ref="A115:F115"/>
  </mergeCells>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dimension ref="A2:K28"/>
  <sheetViews>
    <sheetView zoomScalePageLayoutView="0" workbookViewId="0" topLeftCell="A1">
      <selection activeCell="J27" sqref="J27:K28"/>
    </sheetView>
  </sheetViews>
  <sheetFormatPr defaultColWidth="9.140625" defaultRowHeight="12.75"/>
  <cols>
    <col min="1" max="1" width="35.7109375" style="80" customWidth="1"/>
    <col min="2" max="3" width="20.7109375" style="80" customWidth="1"/>
    <col min="4" max="4" width="5.7109375" style="80" customWidth="1"/>
    <col min="5" max="5" width="35.7109375" style="80" customWidth="1"/>
    <col min="6" max="7" width="20.7109375" style="80" customWidth="1"/>
    <col min="8" max="8" width="5.7109375" style="80" customWidth="1"/>
    <col min="9" max="9" width="35.7109375" style="80" customWidth="1"/>
    <col min="10" max="11" width="20.7109375" style="80" customWidth="1"/>
    <col min="12" max="16384" width="9.140625" style="80" customWidth="1"/>
  </cols>
  <sheetData>
    <row r="1" ht="15" customHeight="1" thickBot="1"/>
    <row r="2" spans="1:11" ht="15" customHeight="1" thickBot="1">
      <c r="A2" s="81" t="s">
        <v>367</v>
      </c>
      <c r="B2" s="82" t="s">
        <v>277</v>
      </c>
      <c r="C2" s="83" t="s">
        <v>204</v>
      </c>
      <c r="E2" s="81" t="s">
        <v>367</v>
      </c>
      <c r="F2" s="82" t="s">
        <v>277</v>
      </c>
      <c r="G2" s="83" t="s">
        <v>204</v>
      </c>
      <c r="I2" s="81" t="s">
        <v>367</v>
      </c>
      <c r="J2" s="82" t="s">
        <v>277</v>
      </c>
      <c r="K2" s="83" t="s">
        <v>204</v>
      </c>
    </row>
    <row r="3" spans="1:11" ht="15" customHeight="1" thickTop="1">
      <c r="A3" s="547" t="s">
        <v>128</v>
      </c>
      <c r="B3" s="548"/>
      <c r="C3" s="549"/>
      <c r="E3" s="547" t="s">
        <v>128</v>
      </c>
      <c r="F3" s="548"/>
      <c r="G3" s="549"/>
      <c r="I3" s="547" t="s">
        <v>128</v>
      </c>
      <c r="J3" s="548"/>
      <c r="K3" s="549"/>
    </row>
    <row r="4" spans="1:11" ht="15" customHeight="1">
      <c r="A4" s="84" t="s">
        <v>278</v>
      </c>
      <c r="B4" s="85">
        <f>Costs!AB37</f>
        <v>26975892.139051445</v>
      </c>
      <c r="C4" s="86">
        <f>Costs!X37</f>
        <v>28524745.395418987</v>
      </c>
      <c r="E4" s="84" t="s">
        <v>278</v>
      </c>
      <c r="F4" s="85">
        <f>ROUND(B4,-3)</f>
        <v>26976000</v>
      </c>
      <c r="G4" s="86">
        <f>ROUND(C4,-3)</f>
        <v>28525000</v>
      </c>
      <c r="I4" s="84" t="s">
        <v>278</v>
      </c>
      <c r="J4" s="85">
        <f>F4/1000</f>
        <v>26976</v>
      </c>
      <c r="K4" s="86">
        <f>G4/1000</f>
        <v>28525</v>
      </c>
    </row>
    <row r="5" spans="1:11" ht="15" customHeight="1" thickBot="1">
      <c r="A5" s="87" t="s">
        <v>279</v>
      </c>
      <c r="B5" s="88">
        <f>B4</f>
        <v>26975892.139051445</v>
      </c>
      <c r="C5" s="89">
        <f>C4</f>
        <v>28524745.395418987</v>
      </c>
      <c r="E5" s="87" t="s">
        <v>279</v>
      </c>
      <c r="F5" s="88">
        <f>ROUND(B5,-3)</f>
        <v>26976000</v>
      </c>
      <c r="G5" s="89">
        <f>ROUND(C5,-3)</f>
        <v>28525000</v>
      </c>
      <c r="I5" s="87" t="s">
        <v>279</v>
      </c>
      <c r="J5" s="88">
        <f>F5/1000</f>
        <v>26976</v>
      </c>
      <c r="K5" s="89">
        <f>G5/1000</f>
        <v>28525</v>
      </c>
    </row>
    <row r="6" spans="1:11" ht="15" customHeight="1" thickBot="1">
      <c r="A6" s="550" t="s">
        <v>65</v>
      </c>
      <c r="B6" s="551"/>
      <c r="C6" s="552"/>
      <c r="E6" s="550" t="s">
        <v>65</v>
      </c>
      <c r="F6" s="551"/>
      <c r="G6" s="552"/>
      <c r="I6" s="550" t="s">
        <v>65</v>
      </c>
      <c r="J6" s="551"/>
      <c r="K6" s="552"/>
    </row>
    <row r="7" spans="1:11" ht="15" customHeight="1" thickBot="1">
      <c r="A7" s="553" t="s">
        <v>280</v>
      </c>
      <c r="B7" s="554"/>
      <c r="C7" s="555"/>
      <c r="E7" s="553" t="s">
        <v>280</v>
      </c>
      <c r="F7" s="554"/>
      <c r="G7" s="555"/>
      <c r="I7" s="553" t="s">
        <v>280</v>
      </c>
      <c r="J7" s="554"/>
      <c r="K7" s="555"/>
    </row>
    <row r="8" spans="1:11" ht="15" customHeight="1">
      <c r="A8" s="84" t="s">
        <v>281</v>
      </c>
      <c r="B8" s="85">
        <f>SAF1!I46</f>
        <v>7878300.497986782</v>
      </c>
      <c r="C8" s="86">
        <f>SAF1!H46</f>
        <v>13392985.266526615</v>
      </c>
      <c r="E8" s="84" t="s">
        <v>281</v>
      </c>
      <c r="F8" s="85">
        <f>ROUND(B8,-3)</f>
        <v>7878000</v>
      </c>
      <c r="G8" s="86">
        <f>ROUND(C8,-3)</f>
        <v>13393000</v>
      </c>
      <c r="I8" s="84" t="s">
        <v>281</v>
      </c>
      <c r="J8" s="85">
        <f>F8/1000</f>
        <v>7878</v>
      </c>
      <c r="K8" s="86">
        <f>G8/1000</f>
        <v>13393</v>
      </c>
    </row>
    <row r="9" spans="1:11" ht="15" customHeight="1" thickBot="1">
      <c r="A9" s="90" t="s">
        <v>282</v>
      </c>
      <c r="B9" s="91">
        <f>B8</f>
        <v>7878300.497986782</v>
      </c>
      <c r="C9" s="92">
        <f>C8</f>
        <v>13392985.266526615</v>
      </c>
      <c r="E9" s="90" t="s">
        <v>282</v>
      </c>
      <c r="F9" s="91">
        <f>ROUND(B9,-3)</f>
        <v>7878000</v>
      </c>
      <c r="G9" s="92">
        <f>ROUND(C9,-3)</f>
        <v>13393000</v>
      </c>
      <c r="I9" s="90" t="s">
        <v>282</v>
      </c>
      <c r="J9" s="91">
        <f>F9/1000</f>
        <v>7878</v>
      </c>
      <c r="K9" s="92">
        <f>G9/1000</f>
        <v>13393</v>
      </c>
    </row>
    <row r="10" spans="1:11" ht="15" customHeight="1" thickBot="1">
      <c r="A10" s="553" t="s">
        <v>283</v>
      </c>
      <c r="B10" s="554"/>
      <c r="C10" s="555"/>
      <c r="E10" s="553" t="s">
        <v>283</v>
      </c>
      <c r="F10" s="554"/>
      <c r="G10" s="555"/>
      <c r="I10" s="553" t="s">
        <v>283</v>
      </c>
      <c r="J10" s="554"/>
      <c r="K10" s="555"/>
    </row>
    <row r="11" spans="1:11" ht="15" customHeight="1">
      <c r="A11" s="84" t="s">
        <v>284</v>
      </c>
      <c r="B11" s="85">
        <f>SOGR1!K35</f>
        <v>5599658.615454986</v>
      </c>
      <c r="C11" s="86">
        <f>SOGR1!J35</f>
        <v>9517838.663591335</v>
      </c>
      <c r="E11" s="84" t="s">
        <v>284</v>
      </c>
      <c r="F11" s="85">
        <f>ROUND(B11,-3)</f>
        <v>5600000</v>
      </c>
      <c r="G11" s="86">
        <f>ROUND(C11,-3)</f>
        <v>9518000</v>
      </c>
      <c r="I11" s="84" t="s">
        <v>284</v>
      </c>
      <c r="J11" s="85">
        <f>F11/1000</f>
        <v>5600</v>
      </c>
      <c r="K11" s="86">
        <f>G11/1000</f>
        <v>9518</v>
      </c>
    </row>
    <row r="12" spans="1:11" ht="15" customHeight="1" thickBot="1">
      <c r="A12" s="90" t="s">
        <v>282</v>
      </c>
      <c r="B12" s="91">
        <f>B11</f>
        <v>5599658.615454986</v>
      </c>
      <c r="C12" s="92">
        <f>C11</f>
        <v>9517838.663591335</v>
      </c>
      <c r="E12" s="90" t="s">
        <v>282</v>
      </c>
      <c r="F12" s="91">
        <f>ROUND(B12,-3)</f>
        <v>5600000</v>
      </c>
      <c r="G12" s="92">
        <f>ROUND(C12,-3)</f>
        <v>9518000</v>
      </c>
      <c r="I12" s="90" t="s">
        <v>282</v>
      </c>
      <c r="J12" s="91">
        <f>F12/1000</f>
        <v>5600</v>
      </c>
      <c r="K12" s="92">
        <f>G12/1000</f>
        <v>9518</v>
      </c>
    </row>
    <row r="13" spans="1:11" ht="15" customHeight="1" thickBot="1">
      <c r="A13" s="553" t="s">
        <v>285</v>
      </c>
      <c r="B13" s="554"/>
      <c r="C13" s="555"/>
      <c r="E13" s="553" t="s">
        <v>285</v>
      </c>
      <c r="F13" s="554"/>
      <c r="G13" s="555"/>
      <c r="I13" s="553" t="s">
        <v>285</v>
      </c>
      <c r="J13" s="554"/>
      <c r="K13" s="555"/>
    </row>
    <row r="14" spans="1:11" ht="15" customHeight="1">
      <c r="A14" s="84" t="s">
        <v>286</v>
      </c>
      <c r="B14" s="85">
        <f>'EC2'!G35</f>
        <v>12794147.627096042</v>
      </c>
      <c r="C14" s="86">
        <f>'EC2'!F35</f>
        <v>20905156.738167774</v>
      </c>
      <c r="E14" s="84" t="s">
        <v>286</v>
      </c>
      <c r="F14" s="85">
        <f aca="true" t="shared" si="0" ref="F14:G17">ROUND(B14,-3)</f>
        <v>12794000</v>
      </c>
      <c r="G14" s="86">
        <f t="shared" si="0"/>
        <v>20905000</v>
      </c>
      <c r="I14" s="84" t="s">
        <v>286</v>
      </c>
      <c r="J14" s="85">
        <f aca="true" t="shared" si="1" ref="J14:K17">F14/1000</f>
        <v>12794</v>
      </c>
      <c r="K14" s="86">
        <f t="shared" si="1"/>
        <v>20905</v>
      </c>
    </row>
    <row r="15" spans="1:11" ht="15" customHeight="1">
      <c r="A15" s="84" t="s">
        <v>417</v>
      </c>
      <c r="B15" s="102">
        <f>'EC1'!K35</f>
        <v>36535130.15037705</v>
      </c>
      <c r="C15" s="86">
        <f>'EC1'!J35</f>
        <v>62108268.89022208</v>
      </c>
      <c r="E15" s="84" t="s">
        <v>417</v>
      </c>
      <c r="F15" s="85">
        <f t="shared" si="0"/>
        <v>36535000</v>
      </c>
      <c r="G15" s="86">
        <f t="shared" si="0"/>
        <v>62108000</v>
      </c>
      <c r="I15" s="84" t="s">
        <v>417</v>
      </c>
      <c r="J15" s="85">
        <f t="shared" si="1"/>
        <v>36535</v>
      </c>
      <c r="K15" s="86">
        <f t="shared" si="1"/>
        <v>62108</v>
      </c>
    </row>
    <row r="16" spans="1:11" ht="15" customHeight="1">
      <c r="A16" s="84" t="s">
        <v>287</v>
      </c>
      <c r="B16" s="85">
        <f>'EC3'!H37</f>
        <v>1024564.2929253351</v>
      </c>
      <c r="C16" s="86">
        <f>'EC3'!G37</f>
        <v>3467599.339650042</v>
      </c>
      <c r="E16" s="84" t="s">
        <v>287</v>
      </c>
      <c r="F16" s="85">
        <f t="shared" si="0"/>
        <v>1025000</v>
      </c>
      <c r="G16" s="86">
        <f t="shared" si="0"/>
        <v>3468000</v>
      </c>
      <c r="I16" s="84" t="s">
        <v>287</v>
      </c>
      <c r="J16" s="85">
        <f t="shared" si="1"/>
        <v>1025</v>
      </c>
      <c r="K16" s="86">
        <f t="shared" si="1"/>
        <v>3468</v>
      </c>
    </row>
    <row r="17" spans="1:11" ht="15" customHeight="1" thickBot="1">
      <c r="A17" s="90" t="s">
        <v>282</v>
      </c>
      <c r="B17" s="88">
        <f>SUM(B14:B16)</f>
        <v>50353842.07039843</v>
      </c>
      <c r="C17" s="89">
        <f>SUM(C14:C16)</f>
        <v>86481024.96803989</v>
      </c>
      <c r="E17" s="90" t="s">
        <v>282</v>
      </c>
      <c r="F17" s="88">
        <f t="shared" si="0"/>
        <v>50354000</v>
      </c>
      <c r="G17" s="89">
        <f t="shared" si="0"/>
        <v>86481000</v>
      </c>
      <c r="I17" s="90" t="s">
        <v>282</v>
      </c>
      <c r="J17" s="88">
        <f t="shared" si="1"/>
        <v>50354</v>
      </c>
      <c r="K17" s="89">
        <f t="shared" si="1"/>
        <v>86481</v>
      </c>
    </row>
    <row r="18" spans="1:11" ht="15" customHeight="1" thickBot="1">
      <c r="A18" s="553" t="s">
        <v>288</v>
      </c>
      <c r="B18" s="554"/>
      <c r="C18" s="555"/>
      <c r="E18" s="553" t="s">
        <v>288</v>
      </c>
      <c r="F18" s="554"/>
      <c r="G18" s="555"/>
      <c r="I18" s="553" t="s">
        <v>288</v>
      </c>
      <c r="J18" s="554"/>
      <c r="K18" s="555"/>
    </row>
    <row r="19" spans="1:11" ht="15" customHeight="1">
      <c r="A19" s="84" t="s">
        <v>289</v>
      </c>
      <c r="B19" s="85">
        <f>'EP1'!H35</f>
        <v>6384523.024130995</v>
      </c>
      <c r="C19" s="86">
        <f>'EP1'!G35</f>
        <v>10883013.118757285</v>
      </c>
      <c r="E19" s="84" t="s">
        <v>289</v>
      </c>
      <c r="F19" s="85">
        <f>ROUND(B19,-3)</f>
        <v>6385000</v>
      </c>
      <c r="G19" s="86">
        <f>ROUND(C19,-3)</f>
        <v>10883000</v>
      </c>
      <c r="I19" s="84" t="s">
        <v>289</v>
      </c>
      <c r="J19" s="85">
        <f>F19/1000</f>
        <v>6385</v>
      </c>
      <c r="K19" s="86">
        <f>G19/1000</f>
        <v>10883</v>
      </c>
    </row>
    <row r="20" spans="1:11" ht="15" customHeight="1" thickBot="1">
      <c r="A20" s="90" t="s">
        <v>282</v>
      </c>
      <c r="B20" s="91">
        <f>B19</f>
        <v>6384523.024130995</v>
      </c>
      <c r="C20" s="92">
        <f>C19</f>
        <v>10883013.118757285</v>
      </c>
      <c r="E20" s="90" t="s">
        <v>282</v>
      </c>
      <c r="F20" s="91">
        <f>ROUND(B20,-3)</f>
        <v>6385000</v>
      </c>
      <c r="G20" s="92">
        <f>ROUND(C20,-3)</f>
        <v>10883000</v>
      </c>
      <c r="I20" s="90" t="s">
        <v>282</v>
      </c>
      <c r="J20" s="91">
        <f>F20/1000</f>
        <v>6385</v>
      </c>
      <c r="K20" s="92">
        <f>G20/1000</f>
        <v>10883</v>
      </c>
    </row>
    <row r="21" spans="1:11" ht="15" customHeight="1" thickBot="1">
      <c r="A21" s="553" t="s">
        <v>8</v>
      </c>
      <c r="B21" s="554"/>
      <c r="C21" s="555"/>
      <c r="E21" s="553" t="s">
        <v>8</v>
      </c>
      <c r="F21" s="554"/>
      <c r="G21" s="555"/>
      <c r="I21" s="553" t="s">
        <v>8</v>
      </c>
      <c r="J21" s="554"/>
      <c r="K21" s="555"/>
    </row>
    <row r="22" spans="1:11" ht="15" customHeight="1">
      <c r="A22" s="84"/>
      <c r="B22" s="85"/>
      <c r="C22" s="86"/>
      <c r="E22" s="84"/>
      <c r="F22" s="85"/>
      <c r="G22" s="86"/>
      <c r="I22" s="84"/>
      <c r="J22" s="85"/>
      <c r="K22" s="86"/>
    </row>
    <row r="23" spans="1:11" ht="15" customHeight="1" thickBot="1">
      <c r="A23" s="90" t="s">
        <v>282</v>
      </c>
      <c r="B23" s="91">
        <f>B22</f>
        <v>0</v>
      </c>
      <c r="C23" s="92">
        <f>C22</f>
        <v>0</v>
      </c>
      <c r="E23" s="90" t="s">
        <v>282</v>
      </c>
      <c r="F23" s="91">
        <f aca="true" t="shared" si="2" ref="F23:G25">ROUND(B23,-3)</f>
        <v>0</v>
      </c>
      <c r="G23" s="92">
        <f t="shared" si="2"/>
        <v>0</v>
      </c>
      <c r="I23" s="90" t="s">
        <v>282</v>
      </c>
      <c r="J23" s="91">
        <f aca="true" t="shared" si="3" ref="J23:K25">F23/1000</f>
        <v>0</v>
      </c>
      <c r="K23" s="92">
        <f t="shared" si="3"/>
        <v>0</v>
      </c>
    </row>
    <row r="24" spans="1:11" ht="15" customHeight="1" thickBot="1">
      <c r="A24" s="354" t="s">
        <v>290</v>
      </c>
      <c r="B24" s="94">
        <f>-'O&amp;M'!D36</f>
        <v>0</v>
      </c>
      <c r="C24" s="95">
        <f>-'O&amp;M'!C36</f>
        <v>0</v>
      </c>
      <c r="E24" s="93" t="s">
        <v>290</v>
      </c>
      <c r="F24" s="94">
        <f t="shared" si="2"/>
        <v>0</v>
      </c>
      <c r="G24" s="95">
        <f t="shared" si="2"/>
        <v>0</v>
      </c>
      <c r="I24" s="93" t="s">
        <v>290</v>
      </c>
      <c r="J24" s="94">
        <f t="shared" si="3"/>
        <v>0</v>
      </c>
      <c r="K24" s="95">
        <f t="shared" si="3"/>
        <v>0</v>
      </c>
    </row>
    <row r="25" spans="1:11" ht="15" customHeight="1" thickBot="1">
      <c r="A25" s="87" t="s">
        <v>2</v>
      </c>
      <c r="B25" s="88">
        <f>B17+B9+B12+B20+B23+B24</f>
        <v>70216324.2079712</v>
      </c>
      <c r="C25" s="89">
        <f>C17+C9+C12+C20+C23+C24</f>
        <v>120274862.01691511</v>
      </c>
      <c r="E25" s="87" t="s">
        <v>2</v>
      </c>
      <c r="F25" s="88">
        <f t="shared" si="2"/>
        <v>70216000</v>
      </c>
      <c r="G25" s="89">
        <f t="shared" si="2"/>
        <v>120275000</v>
      </c>
      <c r="I25" s="87" t="s">
        <v>2</v>
      </c>
      <c r="J25" s="88">
        <f t="shared" si="3"/>
        <v>70216</v>
      </c>
      <c r="K25" s="89">
        <f t="shared" si="3"/>
        <v>120275</v>
      </c>
    </row>
    <row r="26" spans="1:11" ht="15" customHeight="1" thickBot="1">
      <c r="A26" s="550" t="s">
        <v>291</v>
      </c>
      <c r="B26" s="551"/>
      <c r="C26" s="552"/>
      <c r="E26" s="550" t="s">
        <v>291</v>
      </c>
      <c r="F26" s="551"/>
      <c r="G26" s="552"/>
      <c r="I26" s="550" t="s">
        <v>291</v>
      </c>
      <c r="J26" s="551"/>
      <c r="K26" s="552"/>
    </row>
    <row r="27" spans="1:11" ht="15" customHeight="1" thickBot="1">
      <c r="A27" s="93" t="s">
        <v>292</v>
      </c>
      <c r="B27" s="91">
        <f>B25-B5</f>
        <v>43240432.068919756</v>
      </c>
      <c r="C27" s="92">
        <f>C25-C5</f>
        <v>91750116.62149613</v>
      </c>
      <c r="E27" s="93" t="s">
        <v>292</v>
      </c>
      <c r="F27" s="91">
        <f>ROUND(B27,-3)</f>
        <v>43240000</v>
      </c>
      <c r="G27" s="92">
        <f>ROUND(C27,-3)</f>
        <v>91750000</v>
      </c>
      <c r="I27" s="93" t="s">
        <v>292</v>
      </c>
      <c r="J27" s="91">
        <f>F27/1000</f>
        <v>43240</v>
      </c>
      <c r="K27" s="92">
        <f>G27/1000</f>
        <v>91750</v>
      </c>
    </row>
    <row r="28" spans="1:11" ht="15" customHeight="1" thickBot="1">
      <c r="A28" s="96" t="s">
        <v>293</v>
      </c>
      <c r="B28" s="97">
        <f>B25/B4</f>
        <v>2.60292871301643</v>
      </c>
      <c r="C28" s="98">
        <f>C25/C4</f>
        <v>4.216509572640428</v>
      </c>
      <c r="E28" s="96" t="s">
        <v>293</v>
      </c>
      <c r="F28" s="97">
        <f>B28</f>
        <v>2.60292871301643</v>
      </c>
      <c r="G28" s="98">
        <f>C28</f>
        <v>4.216509572640428</v>
      </c>
      <c r="I28" s="96" t="s">
        <v>293</v>
      </c>
      <c r="J28" s="97">
        <f>F28</f>
        <v>2.60292871301643</v>
      </c>
      <c r="K28" s="98">
        <f>G28</f>
        <v>4.216509572640428</v>
      </c>
    </row>
  </sheetData>
  <sheetProtection/>
  <mergeCells count="24">
    <mergeCell ref="I3:K3"/>
    <mergeCell ref="I6:K6"/>
    <mergeCell ref="I7:K7"/>
    <mergeCell ref="I10:K10"/>
    <mergeCell ref="I13:K13"/>
    <mergeCell ref="I18:K18"/>
    <mergeCell ref="E21:G21"/>
    <mergeCell ref="E26:G26"/>
    <mergeCell ref="A21:C21"/>
    <mergeCell ref="A26:C26"/>
    <mergeCell ref="I21:K21"/>
    <mergeCell ref="I26:K26"/>
    <mergeCell ref="E13:G13"/>
    <mergeCell ref="E18:G18"/>
    <mergeCell ref="A7:C7"/>
    <mergeCell ref="A10:C10"/>
    <mergeCell ref="A13:C13"/>
    <mergeCell ref="A18:C18"/>
    <mergeCell ref="A3:C3"/>
    <mergeCell ref="A6:C6"/>
    <mergeCell ref="E3:G3"/>
    <mergeCell ref="E6:G6"/>
    <mergeCell ref="E7:G7"/>
    <mergeCell ref="E10:G10"/>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N74"/>
  <sheetViews>
    <sheetView zoomScale="70" zoomScaleNormal="70" zoomScalePageLayoutView="0" workbookViewId="0" topLeftCell="A1">
      <selection activeCell="B33" sqref="B33"/>
    </sheetView>
  </sheetViews>
  <sheetFormatPr defaultColWidth="9.140625" defaultRowHeight="12.75"/>
  <cols>
    <col min="1" max="1" width="75.421875" style="99" customWidth="1"/>
    <col min="2" max="2" width="19.57421875" style="99" customWidth="1"/>
    <col min="3" max="3" width="160.57421875" style="99" customWidth="1"/>
    <col min="4" max="16384" width="9.140625" style="99" customWidth="1"/>
  </cols>
  <sheetData>
    <row r="1" spans="1:3" ht="12.75" customHeight="1">
      <c r="A1" s="556" t="s">
        <v>4</v>
      </c>
      <c r="B1" s="557"/>
      <c r="C1" s="558"/>
    </row>
    <row r="2" spans="1:3" s="123" customFormat="1" ht="12">
      <c r="A2" s="559"/>
      <c r="B2" s="560"/>
      <c r="C2" s="561"/>
    </row>
    <row r="3" spans="1:3" s="123" customFormat="1" ht="12">
      <c r="A3" s="124" t="s">
        <v>134</v>
      </c>
      <c r="B3" s="121" t="s">
        <v>5</v>
      </c>
      <c r="C3" s="122" t="s">
        <v>157</v>
      </c>
    </row>
    <row r="4" spans="1:3" ht="12">
      <c r="A4" s="103" t="s">
        <v>303</v>
      </c>
      <c r="B4" s="104"/>
      <c r="C4" s="105"/>
    </row>
    <row r="5" spans="1:14" ht="12">
      <c r="A5" s="106" t="s">
        <v>11</v>
      </c>
      <c r="B5" s="107">
        <v>0.07</v>
      </c>
      <c r="C5" s="108" t="s">
        <v>405</v>
      </c>
      <c r="F5" s="109"/>
      <c r="G5" s="109"/>
      <c r="H5" s="109"/>
      <c r="I5" s="109"/>
      <c r="J5" s="109"/>
      <c r="K5" s="109"/>
      <c r="L5" s="109"/>
      <c r="M5" s="109"/>
      <c r="N5" s="109"/>
    </row>
    <row r="6" spans="1:14" ht="12">
      <c r="A6" s="106" t="s">
        <v>11</v>
      </c>
      <c r="B6" s="107">
        <v>0.03</v>
      </c>
      <c r="C6" s="108" t="s">
        <v>405</v>
      </c>
      <c r="F6" s="109"/>
      <c r="G6" s="109"/>
      <c r="H6" s="109"/>
      <c r="I6" s="109"/>
      <c r="J6" s="109"/>
      <c r="K6" s="109"/>
      <c r="L6" s="109"/>
      <c r="M6" s="109"/>
      <c r="N6" s="109"/>
    </row>
    <row r="7" spans="1:3" ht="12">
      <c r="A7" s="106" t="s">
        <v>3</v>
      </c>
      <c r="B7" s="110">
        <v>30</v>
      </c>
      <c r="C7" s="108"/>
    </row>
    <row r="8" spans="1:3" ht="12">
      <c r="A8" s="106" t="s">
        <v>304</v>
      </c>
      <c r="B8" s="110" t="s">
        <v>319</v>
      </c>
      <c r="C8" s="113" t="s">
        <v>305</v>
      </c>
    </row>
    <row r="9" spans="1:3" ht="12">
      <c r="A9" s="106" t="s">
        <v>320</v>
      </c>
      <c r="B9" s="110">
        <v>2017</v>
      </c>
      <c r="C9" s="108"/>
    </row>
    <row r="10" spans="1:3" ht="12">
      <c r="A10" s="106" t="s">
        <v>321</v>
      </c>
      <c r="B10" s="110">
        <v>2018</v>
      </c>
      <c r="C10" s="108"/>
    </row>
    <row r="11" spans="1:3" ht="12">
      <c r="A11" s="106" t="s">
        <v>402</v>
      </c>
      <c r="B11" s="235">
        <v>2815226.53</v>
      </c>
      <c r="C11" s="108" t="s">
        <v>403</v>
      </c>
    </row>
    <row r="12" spans="1:3" ht="12">
      <c r="A12" s="106" t="s">
        <v>411</v>
      </c>
      <c r="B12" s="235">
        <v>1</v>
      </c>
      <c r="C12" s="108" t="s">
        <v>405</v>
      </c>
    </row>
    <row r="13" spans="1:3" ht="12">
      <c r="A13" s="114" t="s">
        <v>412</v>
      </c>
      <c r="B13" s="115">
        <v>1.39</v>
      </c>
      <c r="C13" s="116" t="s">
        <v>405</v>
      </c>
    </row>
    <row r="14" spans="1:3" ht="12">
      <c r="A14" s="106" t="s">
        <v>249</v>
      </c>
      <c r="B14" s="110">
        <v>2</v>
      </c>
      <c r="C14" s="108"/>
    </row>
    <row r="15" spans="1:3" ht="12">
      <c r="A15" s="106" t="s">
        <v>273</v>
      </c>
      <c r="B15" s="110">
        <v>26.5</v>
      </c>
      <c r="C15" s="108" t="s">
        <v>269</v>
      </c>
    </row>
    <row r="16" spans="1:3" ht="12">
      <c r="A16" s="106" t="s">
        <v>274</v>
      </c>
      <c r="B16" s="110">
        <v>12.5</v>
      </c>
      <c r="C16" s="108" t="s">
        <v>270</v>
      </c>
    </row>
    <row r="17" spans="1:3" ht="12">
      <c r="A17" s="106" t="s">
        <v>470</v>
      </c>
      <c r="B17" s="110">
        <v>638</v>
      </c>
      <c r="C17" s="108" t="s">
        <v>450</v>
      </c>
    </row>
    <row r="18" spans="1:3" ht="12">
      <c r="A18" s="106" t="s">
        <v>471</v>
      </c>
      <c r="B18" s="110">
        <v>750</v>
      </c>
      <c r="C18" s="108" t="s">
        <v>450</v>
      </c>
    </row>
    <row r="19" spans="1:3" ht="12">
      <c r="A19" s="106" t="s">
        <v>474</v>
      </c>
      <c r="B19" s="496">
        <v>0.05</v>
      </c>
      <c r="C19" s="108" t="s">
        <v>475</v>
      </c>
    </row>
    <row r="20" spans="1:3" ht="12">
      <c r="A20" s="106" t="s">
        <v>476</v>
      </c>
      <c r="B20" s="189">
        <f>100*100</f>
        <v>10000</v>
      </c>
      <c r="C20" s="108" t="s">
        <v>477</v>
      </c>
    </row>
    <row r="21" spans="1:3" ht="12">
      <c r="A21" s="106" t="s">
        <v>472</v>
      </c>
      <c r="B21" s="111">
        <v>17</v>
      </c>
      <c r="C21" s="108"/>
    </row>
    <row r="22" spans="1:3" ht="12">
      <c r="A22" s="106" t="s">
        <v>473</v>
      </c>
      <c r="B22" s="111">
        <v>50</v>
      </c>
      <c r="C22" s="108"/>
    </row>
    <row r="23" spans="1:3" ht="12">
      <c r="A23" s="106" t="s">
        <v>244</v>
      </c>
      <c r="B23" s="111">
        <v>1</v>
      </c>
      <c r="C23" s="108"/>
    </row>
    <row r="24" spans="1:3" ht="12">
      <c r="A24" s="106" t="s">
        <v>245</v>
      </c>
      <c r="B24" s="111">
        <v>2</v>
      </c>
      <c r="C24" s="108"/>
    </row>
    <row r="25" spans="1:4" ht="12">
      <c r="A25" s="106" t="s">
        <v>272</v>
      </c>
      <c r="B25" s="111">
        <v>7.4</v>
      </c>
      <c r="C25" s="108" t="s">
        <v>271</v>
      </c>
      <c r="D25" s="117"/>
    </row>
    <row r="26" spans="1:3" ht="12">
      <c r="A26" s="106" t="s">
        <v>81</v>
      </c>
      <c r="B26" s="112">
        <v>3</v>
      </c>
      <c r="C26" s="108"/>
    </row>
    <row r="27" spans="1:3" ht="12">
      <c r="A27" s="106" t="s">
        <v>82</v>
      </c>
      <c r="B27" s="112">
        <v>2.9</v>
      </c>
      <c r="C27" s="108"/>
    </row>
    <row r="28" spans="1:3" ht="12">
      <c r="A28" s="106" t="s">
        <v>83</v>
      </c>
      <c r="B28" s="111">
        <v>25</v>
      </c>
      <c r="C28" s="108"/>
    </row>
    <row r="29" spans="1:3" ht="12">
      <c r="A29" s="106" t="s">
        <v>84</v>
      </c>
      <c r="B29" s="111">
        <f>B28*0.75</f>
        <v>18.75</v>
      </c>
      <c r="C29" s="108"/>
    </row>
    <row r="30" spans="1:3" ht="12">
      <c r="A30" s="356" t="s">
        <v>419</v>
      </c>
      <c r="B30" s="351"/>
      <c r="C30" s="108"/>
    </row>
    <row r="31" spans="1:3" ht="12">
      <c r="A31" s="114" t="s">
        <v>531</v>
      </c>
      <c r="B31" s="351">
        <v>0.1</v>
      </c>
      <c r="C31" s="119" t="s">
        <v>529</v>
      </c>
    </row>
    <row r="32" spans="1:3" ht="12">
      <c r="A32" s="114" t="s">
        <v>306</v>
      </c>
      <c r="B32" s="351">
        <f>B31*(Deflator!C84/Deflator!C64)</f>
        <v>0.1451637764932563</v>
      </c>
      <c r="C32" s="119" t="s">
        <v>530</v>
      </c>
    </row>
    <row r="33" spans="1:3" ht="12">
      <c r="A33" s="114" t="s">
        <v>487</v>
      </c>
      <c r="B33" s="351">
        <v>4.44</v>
      </c>
      <c r="C33" s="119" t="s">
        <v>493</v>
      </c>
    </row>
    <row r="34" spans="1:3" s="120" customFormat="1" ht="12">
      <c r="A34" s="357" t="s">
        <v>420</v>
      </c>
      <c r="B34" s="358"/>
      <c r="C34" s="359"/>
    </row>
    <row r="35" spans="1:3" ht="12">
      <c r="A35" s="106" t="s">
        <v>350</v>
      </c>
      <c r="B35" s="351">
        <v>3.236</v>
      </c>
      <c r="C35" s="108" t="s">
        <v>349</v>
      </c>
    </row>
    <row r="36" spans="1:3" ht="12">
      <c r="A36" s="106" t="s">
        <v>495</v>
      </c>
      <c r="B36" s="351">
        <v>0.9</v>
      </c>
      <c r="C36" s="108" t="s">
        <v>413</v>
      </c>
    </row>
    <row r="37" spans="1:3" ht="12">
      <c r="A37" s="106" t="s">
        <v>494</v>
      </c>
      <c r="B37" s="351">
        <v>3.6</v>
      </c>
      <c r="C37" s="108" t="s">
        <v>496</v>
      </c>
    </row>
    <row r="38" spans="1:3" ht="12.75" customHeight="1">
      <c r="A38" s="106" t="s">
        <v>408</v>
      </c>
      <c r="B38" s="351">
        <v>25.1</v>
      </c>
      <c r="C38" t="s">
        <v>275</v>
      </c>
    </row>
    <row r="39" spans="1:3" ht="12.75" customHeight="1">
      <c r="A39" s="106" t="s">
        <v>404</v>
      </c>
      <c r="B39" s="351">
        <v>28.6</v>
      </c>
      <c r="C39" s="355" t="s">
        <v>405</v>
      </c>
    </row>
    <row r="40" spans="1:3" ht="12.75" customHeight="1">
      <c r="A40" s="106" t="s">
        <v>409</v>
      </c>
      <c r="B40" s="351">
        <v>44.9</v>
      </c>
      <c r="C40" s="355" t="s">
        <v>406</v>
      </c>
    </row>
    <row r="41" spans="1:3" ht="12.75" customHeight="1">
      <c r="A41" s="106" t="s">
        <v>410</v>
      </c>
      <c r="B41" s="351">
        <v>26.5</v>
      </c>
      <c r="C41" s="355" t="s">
        <v>407</v>
      </c>
    </row>
    <row r="42" spans="1:3" ht="12.75" customHeight="1">
      <c r="A42" s="356" t="s">
        <v>418</v>
      </c>
      <c r="B42" s="351"/>
      <c r="C42" s="504"/>
    </row>
    <row r="43" spans="1:3" ht="12.75" customHeight="1">
      <c r="A43" s="106" t="s">
        <v>466</v>
      </c>
      <c r="B43" s="189">
        <v>4213</v>
      </c>
      <c r="C43" s="110" t="s">
        <v>276</v>
      </c>
    </row>
    <row r="44" spans="1:3" ht="12.75" customHeight="1">
      <c r="A44" s="106" t="s">
        <v>467</v>
      </c>
      <c r="B44" s="189">
        <v>87000</v>
      </c>
      <c r="C44" s="110" t="s">
        <v>442</v>
      </c>
    </row>
    <row r="45" spans="1:3" ht="12.75" customHeight="1">
      <c r="A45" s="106" t="s">
        <v>468</v>
      </c>
      <c r="B45" s="413">
        <v>287895000000</v>
      </c>
      <c r="C45" s="110" t="s">
        <v>443</v>
      </c>
    </row>
    <row r="46" spans="1:3" ht="12.75" customHeight="1">
      <c r="A46" s="106" t="s">
        <v>510</v>
      </c>
      <c r="B46" s="503">
        <f>0.86/100</f>
        <v>0.0086</v>
      </c>
      <c r="C46" s="505" t="s">
        <v>480</v>
      </c>
    </row>
    <row r="47" spans="1:3" ht="12.75" customHeight="1">
      <c r="A47" s="106" t="s">
        <v>510</v>
      </c>
      <c r="B47" s="503">
        <f>B46*(Deflator!C84/Deflator!C64)</f>
        <v>0.012484084778420041</v>
      </c>
      <c r="C47" s="505" t="s">
        <v>481</v>
      </c>
    </row>
    <row r="48" spans="1:3" ht="12.75" customHeight="1">
      <c r="A48" s="106" t="s">
        <v>511</v>
      </c>
      <c r="B48" s="526">
        <v>34.9</v>
      </c>
      <c r="C48" s="505" t="s">
        <v>484</v>
      </c>
    </row>
    <row r="49" spans="1:3" ht="12.75" customHeight="1">
      <c r="A49" s="106" t="s">
        <v>512</v>
      </c>
      <c r="B49" s="526">
        <v>1.86</v>
      </c>
      <c r="C49" s="505" t="s">
        <v>484</v>
      </c>
    </row>
    <row r="50" spans="1:3" ht="12.75" customHeight="1">
      <c r="A50" s="114" t="s">
        <v>312</v>
      </c>
      <c r="B50" s="118">
        <v>4327</v>
      </c>
      <c r="C50" s="506" t="s">
        <v>405</v>
      </c>
    </row>
    <row r="51" spans="1:3" ht="12.75" customHeight="1">
      <c r="A51" s="114" t="s">
        <v>313</v>
      </c>
      <c r="B51" s="118">
        <v>28800</v>
      </c>
      <c r="C51" s="506" t="s">
        <v>405</v>
      </c>
    </row>
    <row r="52" spans="1:3" ht="12.75" customHeight="1">
      <c r="A52" s="114" t="s">
        <v>314</v>
      </c>
      <c r="B52" s="118">
        <v>451200</v>
      </c>
      <c r="C52" s="506" t="s">
        <v>405</v>
      </c>
    </row>
    <row r="53" spans="1:3" ht="12.75" customHeight="1">
      <c r="A53" s="114" t="s">
        <v>315</v>
      </c>
      <c r="B53" s="118">
        <v>1008000</v>
      </c>
      <c r="C53" s="506" t="s">
        <v>405</v>
      </c>
    </row>
    <row r="54" spans="1:3" ht="12.75" customHeight="1">
      <c r="A54" s="114" t="s">
        <v>316</v>
      </c>
      <c r="B54" s="118">
        <v>2553600</v>
      </c>
      <c r="C54" s="506" t="s">
        <v>405</v>
      </c>
    </row>
    <row r="55" spans="1:3" ht="12.75" customHeight="1">
      <c r="A55" s="114" t="s">
        <v>317</v>
      </c>
      <c r="B55" s="118">
        <v>5692800</v>
      </c>
      <c r="C55" s="119" t="s">
        <v>405</v>
      </c>
    </row>
    <row r="56" spans="1:3" ht="12.75" customHeight="1">
      <c r="A56" s="114" t="s">
        <v>318</v>
      </c>
      <c r="B56" s="118">
        <v>9600000</v>
      </c>
      <c r="C56" s="119" t="s">
        <v>405</v>
      </c>
    </row>
    <row r="57" spans="1:3" ht="12.75" customHeight="1">
      <c r="A57" s="357" t="s">
        <v>288</v>
      </c>
      <c r="B57" s="118"/>
      <c r="C57" s="119"/>
    </row>
    <row r="58" spans="1:4" ht="12">
      <c r="A58" s="106" t="s">
        <v>469</v>
      </c>
      <c r="B58" s="419">
        <v>0.455</v>
      </c>
      <c r="C58" s="414" t="s">
        <v>462</v>
      </c>
      <c r="D58" s="99" t="s">
        <v>456</v>
      </c>
    </row>
    <row r="59" spans="1:3" ht="12">
      <c r="A59" s="106" t="s">
        <v>501</v>
      </c>
      <c r="B59" s="419">
        <v>0.461</v>
      </c>
      <c r="C59" s="414" t="s">
        <v>462</v>
      </c>
    </row>
    <row r="60" spans="1:3" ht="12">
      <c r="A60" s="106" t="s">
        <v>502</v>
      </c>
      <c r="B60" s="419">
        <v>2.395</v>
      </c>
      <c r="C60" s="414" t="s">
        <v>462</v>
      </c>
    </row>
    <row r="61" spans="1:3" ht="12">
      <c r="A61" s="106" t="s">
        <v>503</v>
      </c>
      <c r="B61" s="419">
        <v>9.191</v>
      </c>
      <c r="C61" s="414" t="s">
        <v>462</v>
      </c>
    </row>
    <row r="62" spans="1:3" ht="12">
      <c r="A62" s="106" t="s">
        <v>504</v>
      </c>
      <c r="B62" s="419">
        <v>0.215</v>
      </c>
      <c r="C62" s="414" t="s">
        <v>462</v>
      </c>
    </row>
    <row r="63" spans="1:3" ht="12">
      <c r="A63" s="106" t="s">
        <v>505</v>
      </c>
      <c r="B63" s="419">
        <v>0.545</v>
      </c>
      <c r="C63" s="414" t="s">
        <v>462</v>
      </c>
    </row>
    <row r="64" spans="1:3" ht="12">
      <c r="A64" s="106" t="s">
        <v>506</v>
      </c>
      <c r="B64" s="420">
        <v>0.552</v>
      </c>
      <c r="C64" s="414" t="s">
        <v>462</v>
      </c>
    </row>
    <row r="65" spans="1:3" ht="12">
      <c r="A65" s="106" t="s">
        <v>507</v>
      </c>
      <c r="B65" s="420">
        <v>3.109</v>
      </c>
      <c r="C65" s="414" t="s">
        <v>462</v>
      </c>
    </row>
    <row r="66" spans="1:3" ht="12">
      <c r="A66" s="106" t="s">
        <v>508</v>
      </c>
      <c r="B66" s="420">
        <v>10.99</v>
      </c>
      <c r="C66" s="414" t="s">
        <v>462</v>
      </c>
    </row>
    <row r="67" spans="1:3" ht="12">
      <c r="A67" s="106" t="s">
        <v>509</v>
      </c>
      <c r="B67" s="420">
        <v>0.238</v>
      </c>
      <c r="C67" s="414" t="s">
        <v>462</v>
      </c>
    </row>
    <row r="68" spans="1:3" ht="12">
      <c r="A68" s="415" t="s">
        <v>451</v>
      </c>
      <c r="B68" s="419">
        <v>0.65312</v>
      </c>
      <c r="C68" s="414" t="s">
        <v>462</v>
      </c>
    </row>
    <row r="69" spans="1:3" ht="12">
      <c r="A69" s="415" t="s">
        <v>452</v>
      </c>
      <c r="B69" s="419">
        <v>0.01624</v>
      </c>
      <c r="C69" s="414" t="s">
        <v>455</v>
      </c>
    </row>
    <row r="70" spans="1:3" ht="12">
      <c r="A70" s="114" t="s">
        <v>307</v>
      </c>
      <c r="B70" s="118">
        <v>1905</v>
      </c>
      <c r="C70" s="119" t="s">
        <v>405</v>
      </c>
    </row>
    <row r="71" spans="1:3" ht="12">
      <c r="A71" s="114" t="s">
        <v>308</v>
      </c>
      <c r="B71" s="118">
        <v>7508</v>
      </c>
      <c r="C71" s="119" t="s">
        <v>405</v>
      </c>
    </row>
    <row r="72" spans="1:3" ht="12">
      <c r="A72" s="114" t="s">
        <v>309</v>
      </c>
      <c r="B72" s="118">
        <v>343442</v>
      </c>
      <c r="C72" s="119" t="s">
        <v>405</v>
      </c>
    </row>
    <row r="73" spans="1:3" ht="12">
      <c r="A73" s="114" t="s">
        <v>310</v>
      </c>
      <c r="B73" s="118">
        <v>44373</v>
      </c>
      <c r="C73" s="119" t="s">
        <v>405</v>
      </c>
    </row>
    <row r="74" spans="1:3" ht="12.75" thickBot="1">
      <c r="A74" s="416" t="s">
        <v>311</v>
      </c>
      <c r="B74" s="417">
        <v>1.1015</v>
      </c>
      <c r="C74" s="418" t="s">
        <v>405</v>
      </c>
    </row>
  </sheetData>
  <sheetProtection/>
  <mergeCells count="1">
    <mergeCell ref="A1:C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P92"/>
  <sheetViews>
    <sheetView zoomScalePageLayoutView="0" workbookViewId="0" topLeftCell="A1">
      <selection activeCell="V58" sqref="V58"/>
    </sheetView>
  </sheetViews>
  <sheetFormatPr defaultColWidth="9.140625" defaultRowHeight="12.75"/>
  <cols>
    <col min="1" max="1" width="12.7109375" style="133" customWidth="1"/>
    <col min="2" max="16" width="12.7109375" style="80" customWidth="1"/>
    <col min="17" max="16384" width="9.140625" style="80" customWidth="1"/>
  </cols>
  <sheetData>
    <row r="1" spans="1:16" ht="12" customHeight="1">
      <c r="A1" s="578" t="s">
        <v>322</v>
      </c>
      <c r="B1" s="579"/>
      <c r="C1" s="579"/>
      <c r="D1" s="579"/>
      <c r="E1" s="579"/>
      <c r="F1" s="579"/>
      <c r="G1" s="579"/>
      <c r="H1" s="579"/>
      <c r="I1" s="579"/>
      <c r="J1" s="579"/>
      <c r="K1" s="579"/>
      <c r="L1" s="579"/>
      <c r="M1" s="579"/>
      <c r="N1" s="579"/>
      <c r="O1" s="579"/>
      <c r="P1" s="580"/>
    </row>
    <row r="2" spans="1:16" ht="12" customHeight="1">
      <c r="A2" s="575" t="s">
        <v>323</v>
      </c>
      <c r="B2" s="576"/>
      <c r="C2" s="576"/>
      <c r="D2" s="576"/>
      <c r="E2" s="576"/>
      <c r="F2" s="576"/>
      <c r="G2" s="576"/>
      <c r="H2" s="576"/>
      <c r="I2" s="576"/>
      <c r="J2" s="576"/>
      <c r="K2" s="576"/>
      <c r="L2" s="576"/>
      <c r="M2" s="576"/>
      <c r="N2" s="576"/>
      <c r="O2" s="576"/>
      <c r="P2" s="577"/>
    </row>
    <row r="3" spans="1:16" ht="12">
      <c r="A3" s="563" t="s">
        <v>324</v>
      </c>
      <c r="B3" s="566" t="s">
        <v>325</v>
      </c>
      <c r="C3" s="566" t="s">
        <v>326</v>
      </c>
      <c r="D3" s="569" t="s">
        <v>327</v>
      </c>
      <c r="E3" s="570"/>
      <c r="F3" s="570"/>
      <c r="G3" s="570"/>
      <c r="H3" s="570"/>
      <c r="I3" s="570"/>
      <c r="J3" s="570"/>
      <c r="K3" s="570"/>
      <c r="L3" s="570"/>
      <c r="M3" s="570"/>
      <c r="N3" s="570"/>
      <c r="O3" s="570"/>
      <c r="P3" s="571"/>
    </row>
    <row r="4" spans="1:16" ht="12">
      <c r="A4" s="564"/>
      <c r="B4" s="567"/>
      <c r="C4" s="567"/>
      <c r="D4" s="566" t="s">
        <v>0</v>
      </c>
      <c r="E4" s="566" t="s">
        <v>328</v>
      </c>
      <c r="F4" s="566" t="s">
        <v>329</v>
      </c>
      <c r="G4" s="572" t="s">
        <v>330</v>
      </c>
      <c r="H4" s="573"/>
      <c r="I4" s="574"/>
      <c r="J4" s="566" t="s">
        <v>331</v>
      </c>
      <c r="K4" s="566" t="s">
        <v>332</v>
      </c>
      <c r="L4" s="566" t="s">
        <v>333</v>
      </c>
      <c r="M4" s="566" t="s">
        <v>334</v>
      </c>
      <c r="N4" s="572" t="s">
        <v>335</v>
      </c>
      <c r="O4" s="573"/>
      <c r="P4" s="581"/>
    </row>
    <row r="5" spans="1:16" ht="12">
      <c r="A5" s="565"/>
      <c r="B5" s="568"/>
      <c r="C5" s="568"/>
      <c r="D5" s="568"/>
      <c r="E5" s="568"/>
      <c r="F5" s="568"/>
      <c r="G5" s="125" t="s">
        <v>0</v>
      </c>
      <c r="H5" s="126" t="s">
        <v>336</v>
      </c>
      <c r="I5" s="127" t="s">
        <v>337</v>
      </c>
      <c r="J5" s="568"/>
      <c r="K5" s="568"/>
      <c r="L5" s="568"/>
      <c r="M5" s="568"/>
      <c r="N5" s="128" t="s">
        <v>0</v>
      </c>
      <c r="O5" s="128" t="s">
        <v>338</v>
      </c>
      <c r="P5" s="134" t="s">
        <v>339</v>
      </c>
    </row>
    <row r="6" spans="1:16" ht="12">
      <c r="A6" s="135">
        <v>1940</v>
      </c>
      <c r="B6" s="129">
        <v>98.2</v>
      </c>
      <c r="C6" s="130">
        <v>0.0809</v>
      </c>
      <c r="D6" s="130">
        <v>0.0697</v>
      </c>
      <c r="E6" s="130">
        <v>0.0651</v>
      </c>
      <c r="F6" s="130">
        <v>0.0707</v>
      </c>
      <c r="G6" s="130">
        <v>0.0788</v>
      </c>
      <c r="H6" s="130">
        <v>0.0788</v>
      </c>
      <c r="I6" s="130">
        <v>0.0788</v>
      </c>
      <c r="J6" s="136">
        <v>0.0493</v>
      </c>
      <c r="K6" s="131">
        <v>0.0809</v>
      </c>
      <c r="L6" s="131">
        <v>0.0477</v>
      </c>
      <c r="M6" s="131">
        <v>0.0674</v>
      </c>
      <c r="N6" s="131">
        <v>0.1448</v>
      </c>
      <c r="O6" s="131">
        <v>0.1484</v>
      </c>
      <c r="P6" s="137">
        <v>0.1433</v>
      </c>
    </row>
    <row r="7" spans="1:16" ht="12">
      <c r="A7" s="135">
        <v>1941</v>
      </c>
      <c r="B7" s="129">
        <v>116.2</v>
      </c>
      <c r="C7" s="130">
        <v>0.084</v>
      </c>
      <c r="D7" s="130">
        <v>0.0769</v>
      </c>
      <c r="E7" s="130">
        <v>0.0801</v>
      </c>
      <c r="F7" s="130">
        <v>0.0743</v>
      </c>
      <c r="G7" s="130">
        <v>0.0815</v>
      </c>
      <c r="H7" s="130">
        <v>0.0815</v>
      </c>
      <c r="I7" s="130">
        <v>0.0815</v>
      </c>
      <c r="J7" s="136">
        <v>0.0446</v>
      </c>
      <c r="K7" s="131">
        <v>0.084</v>
      </c>
      <c r="L7" s="131">
        <v>0.0474</v>
      </c>
      <c r="M7" s="131">
        <v>0.0688</v>
      </c>
      <c r="N7" s="131">
        <v>0.1548</v>
      </c>
      <c r="O7" s="131">
        <v>0.1573</v>
      </c>
      <c r="P7" s="137">
        <v>0.149</v>
      </c>
    </row>
    <row r="8" spans="1:16" ht="12">
      <c r="A8" s="135">
        <v>1942</v>
      </c>
      <c r="B8" s="129">
        <v>147.7</v>
      </c>
      <c r="C8" s="130">
        <v>0.0902</v>
      </c>
      <c r="D8" s="130">
        <v>0.0872</v>
      </c>
      <c r="E8" s="130">
        <v>0.0976</v>
      </c>
      <c r="F8" s="130">
        <v>0.0678</v>
      </c>
      <c r="G8" s="130">
        <v>0.0892</v>
      </c>
      <c r="H8" s="130">
        <v>0.0892</v>
      </c>
      <c r="I8" s="130">
        <v>0.0892</v>
      </c>
      <c r="J8" s="136">
        <v>0.0437</v>
      </c>
      <c r="K8" s="131">
        <v>0.0902</v>
      </c>
      <c r="L8" s="131">
        <v>0.0509</v>
      </c>
      <c r="M8" s="131">
        <v>0.0595</v>
      </c>
      <c r="N8" s="131">
        <v>0.1614</v>
      </c>
      <c r="O8" s="131">
        <v>0.1616</v>
      </c>
      <c r="P8" s="137">
        <v>0.1581</v>
      </c>
    </row>
    <row r="9" spans="1:16" ht="12">
      <c r="A9" s="135">
        <v>1943</v>
      </c>
      <c r="B9" s="129">
        <v>184.6</v>
      </c>
      <c r="C9" s="130">
        <v>0.0961</v>
      </c>
      <c r="D9" s="130">
        <v>0.0964</v>
      </c>
      <c r="E9" s="130">
        <v>0.1045</v>
      </c>
      <c r="F9" s="130">
        <v>0.0671</v>
      </c>
      <c r="G9" s="130">
        <v>0.0988</v>
      </c>
      <c r="H9" s="130">
        <v>0.0988</v>
      </c>
      <c r="I9" s="130">
        <v>0.0988</v>
      </c>
      <c r="J9" s="136">
        <v>0.0469</v>
      </c>
      <c r="K9" s="131">
        <v>0.0961</v>
      </c>
      <c r="L9" s="131">
        <v>0.0557</v>
      </c>
      <c r="M9" s="131">
        <v>0.0584</v>
      </c>
      <c r="N9" s="131">
        <v>0.1582</v>
      </c>
      <c r="O9" s="131">
        <v>0.1582</v>
      </c>
      <c r="P9" s="137">
        <v>0.1585</v>
      </c>
    </row>
    <row r="10" spans="1:16" ht="12">
      <c r="A10" s="135">
        <v>1944</v>
      </c>
      <c r="B10" s="129">
        <v>213.8</v>
      </c>
      <c r="C10" s="130">
        <v>0.0995</v>
      </c>
      <c r="D10" s="130">
        <v>0.0887</v>
      </c>
      <c r="E10" s="130">
        <v>0.0918</v>
      </c>
      <c r="F10" s="130">
        <v>0.0726</v>
      </c>
      <c r="G10" s="130">
        <v>0.1061</v>
      </c>
      <c r="H10" s="130">
        <v>0.1061</v>
      </c>
      <c r="I10" s="130">
        <v>0.1061</v>
      </c>
      <c r="J10" s="136">
        <v>0.0498</v>
      </c>
      <c r="K10" s="131">
        <v>0.0995</v>
      </c>
      <c r="L10" s="131">
        <v>0.0614</v>
      </c>
      <c r="M10" s="131">
        <v>0.0624</v>
      </c>
      <c r="N10" s="131">
        <v>0.1536</v>
      </c>
      <c r="O10" s="131">
        <v>0.1536</v>
      </c>
      <c r="P10" s="137">
        <v>0.1625</v>
      </c>
    </row>
    <row r="11" spans="1:16" ht="12">
      <c r="A11" s="135">
        <v>1945</v>
      </c>
      <c r="B11" s="129">
        <v>226.4</v>
      </c>
      <c r="C11" s="130">
        <v>0.1019</v>
      </c>
      <c r="D11" s="130">
        <v>0.0834</v>
      </c>
      <c r="E11" s="130">
        <v>0.0835</v>
      </c>
      <c r="F11" s="130">
        <v>0.0831</v>
      </c>
      <c r="G11" s="130">
        <v>0.1115</v>
      </c>
      <c r="H11" s="130">
        <v>0.1116</v>
      </c>
      <c r="I11" s="130">
        <v>0.1113</v>
      </c>
      <c r="J11" s="136">
        <v>0.0503</v>
      </c>
      <c r="K11" s="131">
        <v>0.1019</v>
      </c>
      <c r="L11" s="131">
        <v>0.0647</v>
      </c>
      <c r="M11" s="131">
        <v>0.0663</v>
      </c>
      <c r="N11" s="131">
        <v>0.1433</v>
      </c>
      <c r="O11" s="131">
        <v>0.1432</v>
      </c>
      <c r="P11" s="137">
        <v>0.1668</v>
      </c>
    </row>
    <row r="12" spans="1:16" ht="12">
      <c r="A12" s="135">
        <v>1946</v>
      </c>
      <c r="B12" s="129">
        <v>228</v>
      </c>
      <c r="C12" s="130">
        <v>0.1097</v>
      </c>
      <c r="D12" s="130">
        <v>0.0842</v>
      </c>
      <c r="E12" s="130">
        <v>0.0801</v>
      </c>
      <c r="F12" s="130">
        <v>0.1019</v>
      </c>
      <c r="G12" s="130">
        <v>0.1176</v>
      </c>
      <c r="H12" s="130">
        <v>0.1176</v>
      </c>
      <c r="I12" s="130">
        <v>0.1174</v>
      </c>
      <c r="J12" s="136">
        <v>0.0555</v>
      </c>
      <c r="K12" s="131">
        <v>0.1097</v>
      </c>
      <c r="L12" s="131">
        <v>0.0673</v>
      </c>
      <c r="M12" s="131">
        <v>0.0719</v>
      </c>
      <c r="N12" s="131">
        <v>0.1455</v>
      </c>
      <c r="O12" s="131">
        <v>0.1451</v>
      </c>
      <c r="P12" s="137">
        <v>0.1643</v>
      </c>
    </row>
    <row r="13" spans="1:16" ht="12">
      <c r="A13" s="135">
        <v>1947</v>
      </c>
      <c r="B13" s="129">
        <v>238.9</v>
      </c>
      <c r="C13" s="130">
        <v>0.1216</v>
      </c>
      <c r="D13" s="130">
        <v>0.0956</v>
      </c>
      <c r="E13" s="130">
        <v>0.0866</v>
      </c>
      <c r="F13" s="130">
        <v>0.1019</v>
      </c>
      <c r="G13" s="130">
        <v>0.1264</v>
      </c>
      <c r="H13" s="130">
        <v>0.1264</v>
      </c>
      <c r="I13" s="130">
        <v>0.1263</v>
      </c>
      <c r="J13" s="136">
        <v>0.1309</v>
      </c>
      <c r="K13" s="131">
        <v>0.1216</v>
      </c>
      <c r="L13" s="131">
        <v>0.0713</v>
      </c>
      <c r="M13" s="131">
        <v>0.0741</v>
      </c>
      <c r="N13" s="131">
        <v>0.1624</v>
      </c>
      <c r="O13" s="131">
        <v>0.1616</v>
      </c>
      <c r="P13" s="137">
        <v>0.167</v>
      </c>
    </row>
    <row r="14" spans="1:16" ht="12">
      <c r="A14" s="135">
        <v>1948</v>
      </c>
      <c r="B14" s="129">
        <v>262.4</v>
      </c>
      <c r="C14" s="130">
        <v>0.1331</v>
      </c>
      <c r="D14" s="130">
        <v>0.0994</v>
      </c>
      <c r="E14" s="130">
        <v>0.0812</v>
      </c>
      <c r="F14" s="130">
        <v>0.1103</v>
      </c>
      <c r="G14" s="130">
        <v>0.138</v>
      </c>
      <c r="H14" s="130">
        <v>0.138</v>
      </c>
      <c r="I14" s="130">
        <v>0.1379</v>
      </c>
      <c r="J14" s="136">
        <v>0.0751</v>
      </c>
      <c r="K14" s="131">
        <v>0.1331</v>
      </c>
      <c r="L14" s="131">
        <v>0.0771</v>
      </c>
      <c r="M14" s="131">
        <v>0.0816</v>
      </c>
      <c r="N14" s="131">
        <v>0.18</v>
      </c>
      <c r="O14" s="131">
        <v>0.1773</v>
      </c>
      <c r="P14" s="137">
        <v>0.1903</v>
      </c>
    </row>
    <row r="15" spans="1:16" ht="12">
      <c r="A15" s="135">
        <v>1949</v>
      </c>
      <c r="B15" s="129">
        <v>276.8</v>
      </c>
      <c r="C15" s="130">
        <v>0.1375</v>
      </c>
      <c r="D15" s="130">
        <v>0.0958</v>
      </c>
      <c r="E15" s="130">
        <v>0.081</v>
      </c>
      <c r="F15" s="130">
        <v>0.1056</v>
      </c>
      <c r="G15" s="130">
        <v>0.1417</v>
      </c>
      <c r="H15" s="130">
        <v>0.1418</v>
      </c>
      <c r="I15" s="130">
        <v>0.1416</v>
      </c>
      <c r="J15" s="136">
        <v>0.0791</v>
      </c>
      <c r="K15" s="131">
        <v>0.1375</v>
      </c>
      <c r="L15" s="131">
        <v>0.0749</v>
      </c>
      <c r="M15" s="131">
        <v>0.0795</v>
      </c>
      <c r="N15" s="131">
        <v>0.1902</v>
      </c>
      <c r="O15" s="131">
        <v>0.1868</v>
      </c>
      <c r="P15" s="137">
        <v>0.1985</v>
      </c>
    </row>
    <row r="16" spans="1:16" ht="12">
      <c r="A16" s="135">
        <v>1950</v>
      </c>
      <c r="B16" s="129">
        <v>279</v>
      </c>
      <c r="C16" s="130">
        <v>0.1355</v>
      </c>
      <c r="D16" s="130">
        <v>0.1005</v>
      </c>
      <c r="E16" s="130">
        <v>0.0818</v>
      </c>
      <c r="F16" s="130">
        <v>0.1127</v>
      </c>
      <c r="G16" s="130">
        <v>0.1399</v>
      </c>
      <c r="H16" s="130">
        <v>0.14</v>
      </c>
      <c r="I16" s="130">
        <v>0.1395</v>
      </c>
      <c r="J16" s="136">
        <v>0.075</v>
      </c>
      <c r="K16" s="131">
        <v>0.1355</v>
      </c>
      <c r="L16" s="131">
        <v>0.0789</v>
      </c>
      <c r="M16" s="131">
        <v>0.0848</v>
      </c>
      <c r="N16" s="131">
        <v>0.1867</v>
      </c>
      <c r="O16" s="131">
        <v>0.186</v>
      </c>
      <c r="P16" s="137">
        <v>0.1879</v>
      </c>
    </row>
    <row r="17" spans="1:16" ht="12">
      <c r="A17" s="135">
        <v>1951</v>
      </c>
      <c r="B17" s="129">
        <v>327.4</v>
      </c>
      <c r="C17" s="130">
        <v>0.1428</v>
      </c>
      <c r="D17" s="130">
        <v>0.1009</v>
      </c>
      <c r="E17" s="130">
        <v>0.0866</v>
      </c>
      <c r="F17" s="130">
        <v>0.1226</v>
      </c>
      <c r="G17" s="130">
        <v>0.1478</v>
      </c>
      <c r="H17" s="130">
        <v>0.1479</v>
      </c>
      <c r="I17" s="130">
        <v>0.1473</v>
      </c>
      <c r="J17" s="136">
        <v>0.0894</v>
      </c>
      <c r="K17" s="131">
        <v>0.1428</v>
      </c>
      <c r="L17" s="131">
        <v>0.0778</v>
      </c>
      <c r="M17" s="131">
        <v>0.0866</v>
      </c>
      <c r="N17" s="131">
        <v>0.1998</v>
      </c>
      <c r="O17" s="131">
        <v>0.2003</v>
      </c>
      <c r="P17" s="137">
        <v>0.1978</v>
      </c>
    </row>
    <row r="18" spans="1:16" ht="12">
      <c r="A18" s="135">
        <v>1952</v>
      </c>
      <c r="B18" s="129">
        <v>357.5</v>
      </c>
      <c r="C18" s="130">
        <v>0.1485</v>
      </c>
      <c r="D18" s="130">
        <v>0.1006</v>
      </c>
      <c r="E18" s="130">
        <v>0.0901</v>
      </c>
      <c r="F18" s="130">
        <v>0.1339</v>
      </c>
      <c r="G18" s="130">
        <v>0.1537</v>
      </c>
      <c r="H18" s="130">
        <v>0.1537</v>
      </c>
      <c r="I18" s="130">
        <v>0.1532</v>
      </c>
      <c r="J18" s="136">
        <v>0.0899</v>
      </c>
      <c r="K18" s="131">
        <v>0.1485</v>
      </c>
      <c r="L18" s="131">
        <v>0.0838</v>
      </c>
      <c r="M18" s="131">
        <v>0.0944</v>
      </c>
      <c r="N18" s="131">
        <v>0.2094</v>
      </c>
      <c r="O18" s="131">
        <v>0.2094</v>
      </c>
      <c r="P18" s="137">
        <v>0.2098</v>
      </c>
    </row>
    <row r="19" spans="1:16" ht="12">
      <c r="A19" s="135">
        <v>1953</v>
      </c>
      <c r="B19" s="129">
        <v>382.5</v>
      </c>
      <c r="C19" s="130">
        <v>0.1512</v>
      </c>
      <c r="D19" s="130">
        <v>0.108</v>
      </c>
      <c r="E19" s="130">
        <v>0.0993</v>
      </c>
      <c r="F19" s="130">
        <v>0.1349</v>
      </c>
      <c r="G19" s="130">
        <v>0.1559</v>
      </c>
      <c r="H19" s="130">
        <v>0.156</v>
      </c>
      <c r="I19" s="130">
        <v>0.1555</v>
      </c>
      <c r="J19" s="136">
        <v>0.0941</v>
      </c>
      <c r="K19" s="131">
        <v>0.1512</v>
      </c>
      <c r="L19" s="131">
        <v>0.0887</v>
      </c>
      <c r="M19" s="131">
        <v>0.0993</v>
      </c>
      <c r="N19" s="131">
        <v>0.2122</v>
      </c>
      <c r="O19" s="131">
        <v>0.2118</v>
      </c>
      <c r="P19" s="137">
        <v>0.2177</v>
      </c>
    </row>
    <row r="20" spans="1:16" ht="12">
      <c r="A20" s="135">
        <v>1954</v>
      </c>
      <c r="B20" s="129">
        <v>387.7</v>
      </c>
      <c r="C20" s="130">
        <v>0.153</v>
      </c>
      <c r="D20" s="130">
        <v>0.1112</v>
      </c>
      <c r="E20" s="130">
        <v>0.1009</v>
      </c>
      <c r="F20" s="130">
        <v>0.145</v>
      </c>
      <c r="G20" s="130">
        <v>0.158</v>
      </c>
      <c r="H20" s="130">
        <v>0.158</v>
      </c>
      <c r="I20" s="130">
        <v>0.1578</v>
      </c>
      <c r="J20" s="136">
        <v>0.0904</v>
      </c>
      <c r="K20" s="131">
        <v>0.153</v>
      </c>
      <c r="L20" s="131">
        <v>0.0918</v>
      </c>
      <c r="M20" s="131">
        <v>0.1061</v>
      </c>
      <c r="N20" s="131">
        <v>0.2103</v>
      </c>
      <c r="O20" s="131">
        <v>0.2099</v>
      </c>
      <c r="P20" s="137">
        <v>0.2163</v>
      </c>
    </row>
    <row r="21" spans="1:16" ht="12">
      <c r="A21" s="135">
        <v>1955</v>
      </c>
      <c r="B21" s="129">
        <v>407</v>
      </c>
      <c r="C21" s="130">
        <v>0.1542</v>
      </c>
      <c r="D21" s="130">
        <v>0.1151</v>
      </c>
      <c r="E21" s="130">
        <v>0.1043</v>
      </c>
      <c r="F21" s="130">
        <v>0.139</v>
      </c>
      <c r="G21" s="130">
        <v>0.1579</v>
      </c>
      <c r="H21" s="130">
        <v>0.1579</v>
      </c>
      <c r="I21" s="130">
        <v>0.1578</v>
      </c>
      <c r="J21" s="136">
        <v>0.0921</v>
      </c>
      <c r="K21" s="131">
        <v>0.1542</v>
      </c>
      <c r="L21" s="131">
        <v>0.0943</v>
      </c>
      <c r="M21" s="131">
        <v>0.1028</v>
      </c>
      <c r="N21" s="131">
        <v>0.2162</v>
      </c>
      <c r="O21" s="131">
        <v>0.2165</v>
      </c>
      <c r="P21" s="137">
        <v>0.2126</v>
      </c>
    </row>
    <row r="22" spans="1:16" ht="12">
      <c r="A22" s="135">
        <v>1956</v>
      </c>
      <c r="B22" s="129">
        <v>439</v>
      </c>
      <c r="C22" s="130">
        <v>0.1582</v>
      </c>
      <c r="D22" s="130">
        <v>0.1202</v>
      </c>
      <c r="E22" s="78">
        <v>0.1105</v>
      </c>
      <c r="F22" s="130">
        <v>0.1386</v>
      </c>
      <c r="G22" s="130">
        <v>0.1598</v>
      </c>
      <c r="H22" s="130">
        <v>0.1598</v>
      </c>
      <c r="I22" s="130">
        <v>0.1597</v>
      </c>
      <c r="J22" s="136">
        <v>0.0936</v>
      </c>
      <c r="K22" s="131">
        <v>0.1582</v>
      </c>
      <c r="L22" s="131">
        <v>0.0954</v>
      </c>
      <c r="M22" s="131">
        <v>0.1024</v>
      </c>
      <c r="N22" s="131">
        <v>0.2275</v>
      </c>
      <c r="O22" s="131">
        <v>0.228</v>
      </c>
      <c r="P22" s="137">
        <v>0.2186</v>
      </c>
    </row>
    <row r="23" spans="1:16" ht="12">
      <c r="A23" s="135">
        <v>1957</v>
      </c>
      <c r="B23" s="129">
        <v>464.2</v>
      </c>
      <c r="C23" s="130">
        <v>0.1641</v>
      </c>
      <c r="D23" s="130">
        <v>0.1261</v>
      </c>
      <c r="E23" s="130">
        <v>0.1161</v>
      </c>
      <c r="F23" s="130">
        <v>0.1441</v>
      </c>
      <c r="G23" s="130">
        <v>0.1644</v>
      </c>
      <c r="H23" s="130">
        <v>0.1644</v>
      </c>
      <c r="I23" s="130">
        <v>0.1643</v>
      </c>
      <c r="J23" s="136">
        <v>0.1019</v>
      </c>
      <c r="K23" s="131">
        <v>0.1641</v>
      </c>
      <c r="L23" s="131">
        <v>0.0976</v>
      </c>
      <c r="M23" s="131">
        <v>0.106</v>
      </c>
      <c r="N23" s="131">
        <v>0.2401</v>
      </c>
      <c r="O23" s="131">
        <v>0.2409</v>
      </c>
      <c r="P23" s="137">
        <v>0.2291</v>
      </c>
    </row>
    <row r="24" spans="1:16" ht="12">
      <c r="A24" s="135">
        <v>1958</v>
      </c>
      <c r="B24" s="129">
        <v>474.3</v>
      </c>
      <c r="C24" s="130">
        <v>0.1691</v>
      </c>
      <c r="D24" s="130">
        <v>0.1335</v>
      </c>
      <c r="E24" s="130">
        <v>0.1216</v>
      </c>
      <c r="F24" s="130">
        <v>0.1533</v>
      </c>
      <c r="G24" s="130">
        <v>0.1692</v>
      </c>
      <c r="H24" s="130">
        <v>0.1692</v>
      </c>
      <c r="I24" s="130">
        <v>0.1691</v>
      </c>
      <c r="J24" s="136">
        <v>0.1128</v>
      </c>
      <c r="K24" s="131">
        <v>0.1691</v>
      </c>
      <c r="L24" s="131">
        <v>0.1044</v>
      </c>
      <c r="M24" s="131">
        <v>0.115</v>
      </c>
      <c r="N24" s="131">
        <v>0.2478</v>
      </c>
      <c r="O24" s="131">
        <v>0.2487</v>
      </c>
      <c r="P24" s="137">
        <v>0.2367</v>
      </c>
    </row>
    <row r="25" spans="1:16" ht="12">
      <c r="A25" s="135">
        <v>1959</v>
      </c>
      <c r="B25" s="129">
        <v>505.6</v>
      </c>
      <c r="C25" s="130">
        <v>0.1717</v>
      </c>
      <c r="D25" s="130">
        <v>0.1391</v>
      </c>
      <c r="E25" s="130">
        <v>0.1298</v>
      </c>
      <c r="F25" s="130">
        <v>0.1513</v>
      </c>
      <c r="G25" s="130">
        <v>0.1716</v>
      </c>
      <c r="H25" s="130">
        <v>0.1716</v>
      </c>
      <c r="I25" s="130">
        <v>0.1715</v>
      </c>
      <c r="J25" s="136">
        <v>0.1199</v>
      </c>
      <c r="K25" s="131">
        <v>0.1717</v>
      </c>
      <c r="L25" s="131">
        <v>0.1097</v>
      </c>
      <c r="M25" s="131">
        <v>0.1191</v>
      </c>
      <c r="N25" s="131">
        <v>0.2521</v>
      </c>
      <c r="O25" s="131">
        <v>0.2532</v>
      </c>
      <c r="P25" s="137">
        <v>0.2402</v>
      </c>
    </row>
    <row r="26" spans="1:16" ht="12">
      <c r="A26" s="135">
        <v>1960</v>
      </c>
      <c r="B26" s="129">
        <v>535.1</v>
      </c>
      <c r="C26" s="130">
        <v>0.1741</v>
      </c>
      <c r="D26" s="130">
        <v>0.1411</v>
      </c>
      <c r="E26" s="130">
        <v>0.1286</v>
      </c>
      <c r="F26" s="130">
        <v>0.1579</v>
      </c>
      <c r="G26" s="130">
        <v>0.1747</v>
      </c>
      <c r="H26" s="130">
        <v>0.1748</v>
      </c>
      <c r="I26" s="130">
        <v>0.1746</v>
      </c>
      <c r="J26" s="136">
        <v>0.1204</v>
      </c>
      <c r="K26" s="131">
        <v>0.1741</v>
      </c>
      <c r="L26" s="131">
        <v>0.1088</v>
      </c>
      <c r="M26" s="131">
        <v>0.1229</v>
      </c>
      <c r="N26" s="131">
        <v>0.254</v>
      </c>
      <c r="O26" s="131">
        <v>0.2552</v>
      </c>
      <c r="P26" s="137">
        <v>0.2439</v>
      </c>
    </row>
    <row r="27" spans="1:16" ht="12">
      <c r="A27" s="135">
        <v>1961</v>
      </c>
      <c r="B27" s="129">
        <v>547.6</v>
      </c>
      <c r="C27" s="130">
        <v>0.1765</v>
      </c>
      <c r="D27" s="130">
        <v>0.1443</v>
      </c>
      <c r="E27" s="130">
        <v>0.1309</v>
      </c>
      <c r="F27" s="130">
        <v>0.1612</v>
      </c>
      <c r="G27" s="130">
        <v>0.1772</v>
      </c>
      <c r="H27" s="130">
        <v>0.1772</v>
      </c>
      <c r="I27" s="130">
        <v>0.1771</v>
      </c>
      <c r="J27" s="136">
        <v>0.1184</v>
      </c>
      <c r="K27" s="131">
        <v>0.1765</v>
      </c>
      <c r="L27" s="131">
        <v>0.1142</v>
      </c>
      <c r="M27" s="131">
        <v>0.1295</v>
      </c>
      <c r="N27" s="131">
        <v>0.2554</v>
      </c>
      <c r="O27" s="131">
        <v>0.2566</v>
      </c>
      <c r="P27" s="137">
        <v>0.2462</v>
      </c>
    </row>
    <row r="28" spans="1:16" ht="12">
      <c r="A28" s="135">
        <v>1962</v>
      </c>
      <c r="B28" s="129">
        <v>586.9</v>
      </c>
      <c r="C28" s="130">
        <v>0.1783</v>
      </c>
      <c r="D28" s="130">
        <v>0.1445</v>
      </c>
      <c r="E28" s="130">
        <v>0.1312</v>
      </c>
      <c r="F28" s="130">
        <v>0.1603</v>
      </c>
      <c r="G28" s="130">
        <v>0.1789</v>
      </c>
      <c r="H28" s="130">
        <v>0.1789</v>
      </c>
      <c r="I28" s="130">
        <v>0.1788</v>
      </c>
      <c r="J28" s="136">
        <v>0.119</v>
      </c>
      <c r="K28" s="131">
        <v>0.1783</v>
      </c>
      <c r="L28" s="131">
        <v>0.1164</v>
      </c>
      <c r="M28" s="131">
        <v>0.1315</v>
      </c>
      <c r="N28" s="131">
        <v>0.2576</v>
      </c>
      <c r="O28" s="131">
        <v>0.2588</v>
      </c>
      <c r="P28" s="137">
        <v>0.2484</v>
      </c>
    </row>
    <row r="29" spans="1:16" ht="12">
      <c r="A29" s="135">
        <v>1963</v>
      </c>
      <c r="B29" s="129">
        <v>619.3</v>
      </c>
      <c r="C29" s="130">
        <v>0.1805</v>
      </c>
      <c r="D29" s="130">
        <v>0.1507</v>
      </c>
      <c r="E29" s="130">
        <v>0.1369</v>
      </c>
      <c r="F29" s="130">
        <v>0.1661</v>
      </c>
      <c r="G29" s="130">
        <v>0.181</v>
      </c>
      <c r="H29" s="130">
        <v>0.181</v>
      </c>
      <c r="I29" s="130">
        <v>0.1809</v>
      </c>
      <c r="J29" s="136">
        <v>0.1231</v>
      </c>
      <c r="K29" s="131">
        <v>0.1805</v>
      </c>
      <c r="L29" s="131">
        <v>0.1202</v>
      </c>
      <c r="M29" s="131">
        <v>0.1396</v>
      </c>
      <c r="N29" s="131">
        <v>0.2617</v>
      </c>
      <c r="O29" s="131">
        <v>0.2632</v>
      </c>
      <c r="P29" s="137">
        <v>0.2508</v>
      </c>
    </row>
    <row r="30" spans="1:16" ht="12">
      <c r="A30" s="135">
        <v>1964</v>
      </c>
      <c r="B30" s="129">
        <v>662.9</v>
      </c>
      <c r="C30" s="130">
        <v>0.1827</v>
      </c>
      <c r="D30" s="130">
        <v>0.1531</v>
      </c>
      <c r="E30" s="130">
        <v>0.1388</v>
      </c>
      <c r="F30" s="130">
        <v>0.1679</v>
      </c>
      <c r="G30" s="130">
        <v>0.1835</v>
      </c>
      <c r="H30" s="130">
        <v>0.1835</v>
      </c>
      <c r="I30" s="130">
        <v>0.1834</v>
      </c>
      <c r="J30" s="136">
        <v>0.1251</v>
      </c>
      <c r="K30" s="131">
        <v>0.1827</v>
      </c>
      <c r="L30" s="131">
        <v>0.1241</v>
      </c>
      <c r="M30" s="131">
        <v>0.1462</v>
      </c>
      <c r="N30" s="131">
        <v>0.2621</v>
      </c>
      <c r="O30" s="131">
        <v>0.2634</v>
      </c>
      <c r="P30" s="137">
        <v>0.2542</v>
      </c>
    </row>
    <row r="31" spans="1:16" ht="12">
      <c r="A31" s="135">
        <v>1965</v>
      </c>
      <c r="B31" s="129">
        <v>710.7</v>
      </c>
      <c r="C31" s="130">
        <v>0.1859</v>
      </c>
      <c r="D31" s="130">
        <v>0.1553</v>
      </c>
      <c r="E31" s="130">
        <v>0.1386</v>
      </c>
      <c r="F31" s="130">
        <v>0.1707</v>
      </c>
      <c r="G31" s="130">
        <v>0.1861</v>
      </c>
      <c r="H31" s="130">
        <v>0.1862</v>
      </c>
      <c r="I31" s="130">
        <v>0.186</v>
      </c>
      <c r="J31" s="136">
        <v>0.1286</v>
      </c>
      <c r="K31" s="131">
        <v>0.1859</v>
      </c>
      <c r="L31" s="131">
        <v>0.1311</v>
      </c>
      <c r="M31" s="131">
        <v>0.1523</v>
      </c>
      <c r="N31" s="131">
        <v>0.2627</v>
      </c>
      <c r="O31" s="131">
        <v>0.2641</v>
      </c>
      <c r="P31" s="137">
        <v>0.2564</v>
      </c>
    </row>
    <row r="32" spans="1:16" ht="12">
      <c r="A32" s="135">
        <v>1966</v>
      </c>
      <c r="B32" s="129">
        <v>781.9</v>
      </c>
      <c r="C32" s="130">
        <v>0.1899</v>
      </c>
      <c r="D32" s="130">
        <v>0.1596</v>
      </c>
      <c r="E32" s="130">
        <v>0.1451</v>
      </c>
      <c r="F32" s="130">
        <v>0.1727</v>
      </c>
      <c r="G32" s="130">
        <v>0.1895</v>
      </c>
      <c r="H32" s="130">
        <v>0.1895</v>
      </c>
      <c r="I32" s="130">
        <v>0.1894</v>
      </c>
      <c r="J32" s="136">
        <v>0.1255</v>
      </c>
      <c r="K32" s="131">
        <v>0.1899</v>
      </c>
      <c r="L32" s="131">
        <v>0.1356</v>
      </c>
      <c r="M32" s="131">
        <v>0.1566</v>
      </c>
      <c r="N32" s="131">
        <v>0.2648</v>
      </c>
      <c r="O32" s="131">
        <v>0.2662</v>
      </c>
      <c r="P32" s="137">
        <v>0.2576</v>
      </c>
    </row>
    <row r="33" spans="1:16" ht="12">
      <c r="A33" s="135">
        <v>1967</v>
      </c>
      <c r="B33" s="129">
        <v>838.2</v>
      </c>
      <c r="C33" s="130">
        <v>0.1957</v>
      </c>
      <c r="D33" s="130">
        <v>0.1632</v>
      </c>
      <c r="E33" s="130">
        <v>0.1498</v>
      </c>
      <c r="F33" s="130">
        <v>0.1763</v>
      </c>
      <c r="G33" s="130">
        <v>0.1946</v>
      </c>
      <c r="H33" s="130">
        <v>0.1946</v>
      </c>
      <c r="I33" s="130">
        <v>0.1945</v>
      </c>
      <c r="J33" s="136">
        <v>0.1274</v>
      </c>
      <c r="K33" s="131">
        <v>0.1957</v>
      </c>
      <c r="L33" s="131">
        <v>0.139</v>
      </c>
      <c r="M33" s="131">
        <v>0.1589</v>
      </c>
      <c r="N33" s="131">
        <v>0.2687</v>
      </c>
      <c r="O33" s="131">
        <v>0.2698</v>
      </c>
      <c r="P33" s="137">
        <v>0.2615</v>
      </c>
    </row>
    <row r="34" spans="1:16" ht="12">
      <c r="A34" s="135">
        <v>1968</v>
      </c>
      <c r="B34" s="129">
        <v>899.3</v>
      </c>
      <c r="C34" s="130">
        <v>0.2024</v>
      </c>
      <c r="D34" s="130">
        <v>0.1691</v>
      </c>
      <c r="E34" s="130">
        <v>0.1568</v>
      </c>
      <c r="F34" s="130">
        <v>0.1813</v>
      </c>
      <c r="G34" s="130">
        <v>0.2006</v>
      </c>
      <c r="H34" s="130">
        <v>0.2006</v>
      </c>
      <c r="I34" s="130">
        <v>0.2005</v>
      </c>
      <c r="J34" s="136">
        <v>0.1319</v>
      </c>
      <c r="K34" s="131">
        <v>0.2024</v>
      </c>
      <c r="L34" s="131">
        <v>0.1441</v>
      </c>
      <c r="M34" s="131">
        <v>0.1625</v>
      </c>
      <c r="N34" s="131">
        <v>0.2746</v>
      </c>
      <c r="O34" s="131">
        <v>0.2755</v>
      </c>
      <c r="P34" s="137">
        <v>0.2673</v>
      </c>
    </row>
    <row r="35" spans="1:16" ht="12">
      <c r="A35" s="135">
        <v>1969</v>
      </c>
      <c r="B35" s="129">
        <v>982.3</v>
      </c>
      <c r="C35" s="130">
        <v>0.2117</v>
      </c>
      <c r="D35" s="130">
        <v>0.1798</v>
      </c>
      <c r="E35" s="130">
        <v>0.1657</v>
      </c>
      <c r="F35" s="130">
        <v>0.1932</v>
      </c>
      <c r="G35" s="130">
        <v>0.2091</v>
      </c>
      <c r="H35" s="130">
        <v>0.2091</v>
      </c>
      <c r="I35" s="130">
        <v>0.209</v>
      </c>
      <c r="J35" s="136">
        <v>0.14</v>
      </c>
      <c r="K35" s="131">
        <v>0.2117</v>
      </c>
      <c r="L35" s="131">
        <v>0.1541</v>
      </c>
      <c r="M35" s="131">
        <v>0.1747</v>
      </c>
      <c r="N35" s="131">
        <v>0.285</v>
      </c>
      <c r="O35" s="131">
        <v>0.2858</v>
      </c>
      <c r="P35" s="137">
        <v>0.2775</v>
      </c>
    </row>
    <row r="36" spans="1:16" ht="12">
      <c r="A36" s="135">
        <v>1970</v>
      </c>
      <c r="B36" s="129">
        <v>1049.1</v>
      </c>
      <c r="C36" s="130">
        <v>0.2231</v>
      </c>
      <c r="D36" s="130">
        <v>0.1899</v>
      </c>
      <c r="E36" s="130">
        <v>0.1742</v>
      </c>
      <c r="F36" s="130">
        <v>0.203</v>
      </c>
      <c r="G36" s="130">
        <v>0.2191</v>
      </c>
      <c r="H36" s="130">
        <v>0.2191</v>
      </c>
      <c r="I36" s="130">
        <v>0.219</v>
      </c>
      <c r="J36" s="136">
        <v>0.1494</v>
      </c>
      <c r="K36" s="131">
        <v>0.2231</v>
      </c>
      <c r="L36" s="131">
        <v>0.1668</v>
      </c>
      <c r="M36" s="131">
        <v>0.1855</v>
      </c>
      <c r="N36" s="131">
        <v>0.2998</v>
      </c>
      <c r="O36" s="131">
        <v>0.3005</v>
      </c>
      <c r="P36" s="137">
        <v>0.293</v>
      </c>
    </row>
    <row r="37" spans="1:16" ht="12">
      <c r="A37" s="135">
        <v>1971</v>
      </c>
      <c r="B37" s="129">
        <v>1119.3</v>
      </c>
      <c r="C37" s="130">
        <v>0.2344</v>
      </c>
      <c r="D37" s="130">
        <v>0.203</v>
      </c>
      <c r="E37" s="130">
        <v>0.1853</v>
      </c>
      <c r="F37" s="130">
        <v>0.2155</v>
      </c>
      <c r="G37" s="130">
        <v>0.2289</v>
      </c>
      <c r="H37" s="130">
        <v>0.2289</v>
      </c>
      <c r="I37" s="130">
        <v>0.2288</v>
      </c>
      <c r="J37" s="136">
        <v>0.1601</v>
      </c>
      <c r="K37" s="131">
        <v>0.2344</v>
      </c>
      <c r="L37" s="131">
        <v>0.1837</v>
      </c>
      <c r="M37" s="131">
        <v>0.2031</v>
      </c>
      <c r="N37" s="131">
        <v>0.3185</v>
      </c>
      <c r="O37" s="131">
        <v>0.3196</v>
      </c>
      <c r="P37" s="137">
        <v>0.3113</v>
      </c>
    </row>
    <row r="38" spans="1:16" ht="12">
      <c r="A38" s="135">
        <v>1972</v>
      </c>
      <c r="B38" s="129">
        <v>1219.5</v>
      </c>
      <c r="C38" s="130">
        <v>0.2455</v>
      </c>
      <c r="D38" s="130">
        <v>0.2165</v>
      </c>
      <c r="E38" s="130">
        <v>0.2031</v>
      </c>
      <c r="F38" s="130">
        <v>0.2242</v>
      </c>
      <c r="G38" s="130">
        <v>0.2377</v>
      </c>
      <c r="H38" s="130">
        <v>0.2377</v>
      </c>
      <c r="I38" s="130">
        <v>0.2376</v>
      </c>
      <c r="J38" s="136">
        <v>0.1679</v>
      </c>
      <c r="K38" s="131">
        <v>0.2455</v>
      </c>
      <c r="L38" s="131">
        <v>0.1979</v>
      </c>
      <c r="M38" s="131">
        <v>0.2164</v>
      </c>
      <c r="N38" s="131">
        <v>0.3417</v>
      </c>
      <c r="O38" s="131">
        <v>0.3448</v>
      </c>
      <c r="P38" s="137">
        <v>0.3259</v>
      </c>
    </row>
    <row r="39" spans="1:16" ht="12">
      <c r="A39" s="135">
        <v>1973</v>
      </c>
      <c r="B39" s="129">
        <v>1356</v>
      </c>
      <c r="C39" s="130">
        <v>0.2562</v>
      </c>
      <c r="D39" s="130">
        <v>0.2266</v>
      </c>
      <c r="E39" s="130">
        <v>0.2176</v>
      </c>
      <c r="F39" s="130">
        <v>0.2309</v>
      </c>
      <c r="G39" s="130">
        <v>0.2466</v>
      </c>
      <c r="H39" s="130">
        <v>0.2466</v>
      </c>
      <c r="I39" s="130">
        <v>0.2465</v>
      </c>
      <c r="J39" s="136">
        <v>0.1719</v>
      </c>
      <c r="K39" s="131">
        <v>0.2562</v>
      </c>
      <c r="L39" s="131">
        <v>0.2094</v>
      </c>
      <c r="M39" s="131">
        <v>0.2289</v>
      </c>
      <c r="N39" s="131">
        <v>0.3637</v>
      </c>
      <c r="O39" s="131">
        <v>0.3692</v>
      </c>
      <c r="P39" s="137">
        <v>0.3396</v>
      </c>
    </row>
    <row r="40" spans="1:16" ht="12">
      <c r="A40" s="135">
        <v>1974</v>
      </c>
      <c r="B40" s="129">
        <v>1486.2</v>
      </c>
      <c r="C40" s="130">
        <v>0.2743</v>
      </c>
      <c r="D40" s="130">
        <v>0.2454</v>
      </c>
      <c r="E40" s="130">
        <v>0.2325</v>
      </c>
      <c r="F40" s="130">
        <v>0.2512</v>
      </c>
      <c r="G40" s="130">
        <v>0.2664</v>
      </c>
      <c r="H40" s="130">
        <v>0.2664</v>
      </c>
      <c r="I40" s="130">
        <v>0.2663</v>
      </c>
      <c r="J40" s="136">
        <v>0.1878</v>
      </c>
      <c r="K40" s="131">
        <v>0.2743</v>
      </c>
      <c r="L40" s="131">
        <v>0.2222</v>
      </c>
      <c r="M40" s="131">
        <v>0.2422</v>
      </c>
      <c r="N40" s="131">
        <v>0.3863</v>
      </c>
      <c r="O40" s="131">
        <v>0.3912</v>
      </c>
      <c r="P40" s="137">
        <v>0.3661</v>
      </c>
    </row>
    <row r="41" spans="1:16" ht="12">
      <c r="A41" s="135">
        <v>1975</v>
      </c>
      <c r="B41" s="129">
        <v>1610.6</v>
      </c>
      <c r="C41" s="130">
        <v>0.3027</v>
      </c>
      <c r="D41" s="130">
        <v>0.2695</v>
      </c>
      <c r="E41" s="130">
        <v>0.2533</v>
      </c>
      <c r="F41" s="130">
        <v>0.2758</v>
      </c>
      <c r="G41" s="130">
        <v>0.294</v>
      </c>
      <c r="H41" s="130">
        <v>0.294</v>
      </c>
      <c r="I41" s="130">
        <v>0.2939</v>
      </c>
      <c r="J41" s="136">
        <v>0.2084</v>
      </c>
      <c r="K41" s="131">
        <v>0.3027</v>
      </c>
      <c r="L41" s="131">
        <v>0.2389</v>
      </c>
      <c r="M41" s="131">
        <v>0.2586</v>
      </c>
      <c r="N41" s="131">
        <v>0.4197</v>
      </c>
      <c r="O41" s="131">
        <v>0.4234</v>
      </c>
      <c r="P41" s="137">
        <v>0.4061</v>
      </c>
    </row>
    <row r="42" spans="1:16" ht="12">
      <c r="A42" s="135">
        <v>1976</v>
      </c>
      <c r="B42" s="129">
        <v>1790.3</v>
      </c>
      <c r="C42" s="130">
        <v>0.3237</v>
      </c>
      <c r="D42" s="130">
        <v>0.2888</v>
      </c>
      <c r="E42" s="130">
        <v>0.2696</v>
      </c>
      <c r="F42" s="130">
        <v>0.2955</v>
      </c>
      <c r="G42" s="130">
        <v>0.3132</v>
      </c>
      <c r="H42" s="130">
        <v>0.3132</v>
      </c>
      <c r="I42" s="130">
        <v>0.3131</v>
      </c>
      <c r="J42" s="136">
        <v>0.2246</v>
      </c>
      <c r="K42" s="131">
        <v>0.3237</v>
      </c>
      <c r="L42" s="131">
        <v>0.2588</v>
      </c>
      <c r="M42" s="131">
        <v>0.2814</v>
      </c>
      <c r="N42" s="131">
        <v>0.4485</v>
      </c>
      <c r="O42" s="131">
        <v>0.4528</v>
      </c>
      <c r="P42" s="137">
        <v>0.4331</v>
      </c>
    </row>
    <row r="43" spans="1:16" ht="12">
      <c r="A43" s="135" t="s">
        <v>340</v>
      </c>
      <c r="B43" s="129">
        <v>472.6</v>
      </c>
      <c r="C43" s="130">
        <v>0.3334</v>
      </c>
      <c r="D43" s="130">
        <v>0.2961</v>
      </c>
      <c r="E43" s="130">
        <v>0.2749</v>
      </c>
      <c r="F43" s="130">
        <v>0.3032</v>
      </c>
      <c r="G43" s="130">
        <v>0.323</v>
      </c>
      <c r="H43" s="130">
        <v>0.323</v>
      </c>
      <c r="I43" s="130">
        <v>0.3229</v>
      </c>
      <c r="J43" s="136">
        <v>0.2327</v>
      </c>
      <c r="K43" s="131">
        <v>0.3334</v>
      </c>
      <c r="L43" s="131">
        <v>0.2666</v>
      </c>
      <c r="M43" s="131">
        <v>0.2877</v>
      </c>
      <c r="N43" s="131">
        <v>0.4651</v>
      </c>
      <c r="O43" s="131">
        <v>0.4722</v>
      </c>
      <c r="P43" s="137">
        <v>0.4435</v>
      </c>
    </row>
    <row r="44" spans="1:16" ht="12">
      <c r="A44" s="135">
        <v>1977</v>
      </c>
      <c r="B44" s="129">
        <v>2028.4</v>
      </c>
      <c r="C44" s="130">
        <v>0.347</v>
      </c>
      <c r="D44" s="130">
        <v>0.3098</v>
      </c>
      <c r="E44" s="130">
        <v>0.2906</v>
      </c>
      <c r="F44" s="130">
        <v>0.3163</v>
      </c>
      <c r="G44" s="130">
        <v>0.3366</v>
      </c>
      <c r="H44" s="130">
        <v>0.3367</v>
      </c>
      <c r="I44" s="130">
        <v>0.3365</v>
      </c>
      <c r="J44" s="136">
        <v>0.2408</v>
      </c>
      <c r="K44" s="131">
        <v>0.347</v>
      </c>
      <c r="L44" s="131">
        <v>0.2791</v>
      </c>
      <c r="M44" s="131">
        <v>0.3023</v>
      </c>
      <c r="N44" s="131">
        <v>0.4838</v>
      </c>
      <c r="O44" s="131">
        <v>0.4913</v>
      </c>
      <c r="P44" s="137">
        <v>0.4578</v>
      </c>
    </row>
    <row r="45" spans="1:16" ht="12">
      <c r="A45" s="135">
        <v>1978</v>
      </c>
      <c r="B45" s="129">
        <v>2278.2</v>
      </c>
      <c r="C45" s="130">
        <v>0.3703</v>
      </c>
      <c r="D45" s="130">
        <v>0.3292</v>
      </c>
      <c r="E45" s="130">
        <v>0.3102</v>
      </c>
      <c r="F45" s="130">
        <v>0.3353</v>
      </c>
      <c r="G45" s="130">
        <v>0.3594</v>
      </c>
      <c r="H45" s="130">
        <v>0.3595</v>
      </c>
      <c r="I45" s="130">
        <v>0.3593</v>
      </c>
      <c r="J45" s="136">
        <v>0.2562</v>
      </c>
      <c r="K45" s="131">
        <v>0.3703</v>
      </c>
      <c r="L45" s="131">
        <v>0.2966</v>
      </c>
      <c r="M45" s="131">
        <v>0.3192</v>
      </c>
      <c r="N45" s="131">
        <v>0.5134</v>
      </c>
      <c r="O45" s="131">
        <v>0.5238</v>
      </c>
      <c r="P45" s="137">
        <v>0.4806</v>
      </c>
    </row>
    <row r="46" spans="1:16" ht="12">
      <c r="A46" s="135">
        <v>1979</v>
      </c>
      <c r="B46" s="129">
        <v>2570</v>
      </c>
      <c r="C46" s="130">
        <v>0.4001</v>
      </c>
      <c r="D46" s="130">
        <v>0.3576</v>
      </c>
      <c r="E46" s="130">
        <v>0.3355</v>
      </c>
      <c r="F46" s="130">
        <v>0.3649</v>
      </c>
      <c r="G46" s="130">
        <v>0.3892</v>
      </c>
      <c r="H46" s="130">
        <v>0.3893</v>
      </c>
      <c r="I46" s="130">
        <v>0.3891</v>
      </c>
      <c r="J46" s="136">
        <v>0.2795</v>
      </c>
      <c r="K46" s="131">
        <v>0.4001</v>
      </c>
      <c r="L46" s="131">
        <v>0.3153</v>
      </c>
      <c r="M46" s="131">
        <v>0.3436</v>
      </c>
      <c r="N46" s="131">
        <v>0.5474</v>
      </c>
      <c r="O46" s="131">
        <v>0.5581</v>
      </c>
      <c r="P46" s="137">
        <v>0.512</v>
      </c>
    </row>
    <row r="47" spans="1:16" ht="12">
      <c r="A47" s="135">
        <v>1980</v>
      </c>
      <c r="B47" s="129">
        <v>2796.8</v>
      </c>
      <c r="C47" s="130">
        <v>0.4349</v>
      </c>
      <c r="D47" s="130">
        <v>0.3951</v>
      </c>
      <c r="E47" s="130">
        <v>0.3709</v>
      </c>
      <c r="F47" s="130">
        <v>0.4028</v>
      </c>
      <c r="G47" s="130">
        <v>0.4302</v>
      </c>
      <c r="H47" s="130">
        <v>0.4303</v>
      </c>
      <c r="I47" s="130">
        <v>0.4301</v>
      </c>
      <c r="J47" s="136">
        <v>0.3107</v>
      </c>
      <c r="K47" s="131">
        <v>0.4349</v>
      </c>
      <c r="L47" s="131">
        <v>0.3414</v>
      </c>
      <c r="M47" s="131">
        <v>0.3683</v>
      </c>
      <c r="N47" s="131">
        <v>0.5909</v>
      </c>
      <c r="O47" s="131">
        <v>0.5996</v>
      </c>
      <c r="P47" s="137">
        <v>0.5584</v>
      </c>
    </row>
    <row r="48" spans="1:16" ht="12">
      <c r="A48" s="135">
        <v>1981</v>
      </c>
      <c r="B48" s="129">
        <v>3138.4</v>
      </c>
      <c r="C48" s="130">
        <v>0.4775</v>
      </c>
      <c r="D48" s="130">
        <v>0.4391</v>
      </c>
      <c r="E48" s="130">
        <v>0.4133</v>
      </c>
      <c r="F48" s="130">
        <v>0.4476</v>
      </c>
      <c r="G48" s="130">
        <v>0.472</v>
      </c>
      <c r="H48" s="130">
        <v>0.472</v>
      </c>
      <c r="I48" s="130">
        <v>0.4718</v>
      </c>
      <c r="J48" s="136">
        <v>0.3462</v>
      </c>
      <c r="K48" s="131">
        <v>0.4775</v>
      </c>
      <c r="L48" s="131">
        <v>0.3751</v>
      </c>
      <c r="M48" s="131">
        <v>0.4038</v>
      </c>
      <c r="N48" s="131">
        <v>0.6426</v>
      </c>
      <c r="O48" s="131">
        <v>0.6507</v>
      </c>
      <c r="P48" s="137">
        <v>0.609</v>
      </c>
    </row>
    <row r="49" spans="1:16" ht="12">
      <c r="A49" s="135">
        <v>1982</v>
      </c>
      <c r="B49" s="129">
        <v>3313.9</v>
      </c>
      <c r="C49" s="130">
        <v>0.5103</v>
      </c>
      <c r="D49" s="130">
        <v>0.4721</v>
      </c>
      <c r="E49" s="130">
        <v>0.4491</v>
      </c>
      <c r="F49" s="130">
        <v>0.4803</v>
      </c>
      <c r="G49" s="130">
        <v>0.5011</v>
      </c>
      <c r="H49" s="130">
        <v>0.5011</v>
      </c>
      <c r="I49" s="130">
        <v>0.5009</v>
      </c>
      <c r="J49" s="136">
        <v>0.3759</v>
      </c>
      <c r="K49" s="131">
        <v>0.5103</v>
      </c>
      <c r="L49" s="131">
        <v>0.393</v>
      </c>
      <c r="M49" s="131">
        <v>0.4233</v>
      </c>
      <c r="N49" s="131">
        <v>0.6966</v>
      </c>
      <c r="O49" s="131">
        <v>0.7045</v>
      </c>
      <c r="P49" s="137">
        <v>0.6554</v>
      </c>
    </row>
    <row r="50" spans="1:16" ht="12">
      <c r="A50" s="135">
        <v>1983</v>
      </c>
      <c r="B50" s="129">
        <v>3541.1</v>
      </c>
      <c r="C50" s="130">
        <v>0.5327</v>
      </c>
      <c r="D50" s="130">
        <v>0.4957</v>
      </c>
      <c r="E50" s="130">
        <v>0.472</v>
      </c>
      <c r="F50" s="130">
        <v>0.5045</v>
      </c>
      <c r="G50" s="130">
        <v>0.5241</v>
      </c>
      <c r="H50" s="130">
        <v>0.5241</v>
      </c>
      <c r="I50" s="130">
        <v>0.5239</v>
      </c>
      <c r="J50" s="136">
        <v>0.395</v>
      </c>
      <c r="K50" s="131">
        <v>0.5327</v>
      </c>
      <c r="L50" s="131">
        <v>0.4077</v>
      </c>
      <c r="M50" s="131">
        <v>0.4371</v>
      </c>
      <c r="N50" s="131">
        <v>0.7325</v>
      </c>
      <c r="O50" s="131">
        <v>0.741</v>
      </c>
      <c r="P50" s="137">
        <v>0.6765</v>
      </c>
    </row>
    <row r="51" spans="1:16" ht="12">
      <c r="A51" s="135">
        <v>1984</v>
      </c>
      <c r="B51" s="129">
        <v>3952.8</v>
      </c>
      <c r="C51" s="130">
        <v>0.5515</v>
      </c>
      <c r="D51" s="130">
        <v>0.5184</v>
      </c>
      <c r="E51" s="130">
        <v>0.4944</v>
      </c>
      <c r="F51" s="130">
        <v>0.5278</v>
      </c>
      <c r="G51" s="130">
        <v>0.5444</v>
      </c>
      <c r="H51" s="130">
        <v>0.5444</v>
      </c>
      <c r="I51" s="130">
        <v>0.5442</v>
      </c>
      <c r="J51" s="136">
        <v>0.4155</v>
      </c>
      <c r="K51" s="131">
        <v>0.5515</v>
      </c>
      <c r="L51" s="131">
        <v>0.4173</v>
      </c>
      <c r="M51" s="131">
        <v>0.4593</v>
      </c>
      <c r="N51" s="131">
        <v>0.7594</v>
      </c>
      <c r="O51" s="131">
        <v>0.77</v>
      </c>
      <c r="P51" s="137">
        <v>0.6939</v>
      </c>
    </row>
    <row r="52" spans="1:16" ht="12">
      <c r="A52" s="135">
        <v>1985</v>
      </c>
      <c r="B52" s="129">
        <v>4270.4</v>
      </c>
      <c r="C52" s="130">
        <v>0.5698</v>
      </c>
      <c r="D52" s="130">
        <v>0.5372</v>
      </c>
      <c r="E52" s="130">
        <v>0.5128</v>
      </c>
      <c r="F52" s="130">
        <v>0.5467</v>
      </c>
      <c r="G52" s="130">
        <v>0.5637</v>
      </c>
      <c r="H52" s="130">
        <v>0.5637</v>
      </c>
      <c r="I52" s="130">
        <v>0.5634</v>
      </c>
      <c r="J52" s="136">
        <v>0.4331</v>
      </c>
      <c r="K52" s="131">
        <v>0.5698</v>
      </c>
      <c r="L52" s="131">
        <v>0.4345</v>
      </c>
      <c r="M52" s="131">
        <v>0.4782</v>
      </c>
      <c r="N52" s="131">
        <v>0.7674</v>
      </c>
      <c r="O52" s="131">
        <v>0.7773</v>
      </c>
      <c r="P52" s="137">
        <v>0.7087</v>
      </c>
    </row>
    <row r="53" spans="1:16" ht="12">
      <c r="A53" s="135">
        <v>1986</v>
      </c>
      <c r="B53" s="129">
        <v>4536.1</v>
      </c>
      <c r="C53" s="130">
        <v>0.5828</v>
      </c>
      <c r="D53" s="130">
        <v>0.5486</v>
      </c>
      <c r="E53" s="130">
        <v>0.5242</v>
      </c>
      <c r="F53" s="130">
        <v>0.5585</v>
      </c>
      <c r="G53" s="130">
        <v>0.5783</v>
      </c>
      <c r="H53" s="130">
        <v>0.5784</v>
      </c>
      <c r="I53" s="130">
        <v>0.5781</v>
      </c>
      <c r="J53" s="136">
        <v>0.4486</v>
      </c>
      <c r="K53" s="131">
        <v>0.5828</v>
      </c>
      <c r="L53" s="131">
        <v>0.4407</v>
      </c>
      <c r="M53" s="131">
        <v>0.4796</v>
      </c>
      <c r="N53" s="131">
        <v>0.7621</v>
      </c>
      <c r="O53" s="131">
        <v>0.7686</v>
      </c>
      <c r="P53" s="137">
        <v>0.7174</v>
      </c>
    </row>
    <row r="54" spans="1:16" ht="12">
      <c r="A54" s="135">
        <v>1987</v>
      </c>
      <c r="B54" s="129">
        <v>4781.9</v>
      </c>
      <c r="C54" s="130">
        <v>0.5958</v>
      </c>
      <c r="D54" s="130">
        <v>0.5643</v>
      </c>
      <c r="E54" s="130">
        <v>0.5325</v>
      </c>
      <c r="F54" s="130">
        <v>0.5777</v>
      </c>
      <c r="G54" s="130">
        <v>0.593</v>
      </c>
      <c r="H54" s="130">
        <v>0.5931</v>
      </c>
      <c r="I54" s="130">
        <v>0.5928</v>
      </c>
      <c r="J54" s="136">
        <v>0.4712</v>
      </c>
      <c r="K54" s="131">
        <v>0.5958</v>
      </c>
      <c r="L54" s="131">
        <v>0.4425</v>
      </c>
      <c r="M54" s="131">
        <v>0.4894</v>
      </c>
      <c r="N54" s="131">
        <v>0.7549</v>
      </c>
      <c r="O54" s="131">
        <v>0.7592</v>
      </c>
      <c r="P54" s="137">
        <v>0.7263</v>
      </c>
    </row>
    <row r="55" spans="1:16" ht="12">
      <c r="A55" s="135">
        <v>1988</v>
      </c>
      <c r="B55" s="129">
        <v>5155.1</v>
      </c>
      <c r="C55" s="130">
        <v>0.6151</v>
      </c>
      <c r="D55" s="130">
        <v>0.5835</v>
      </c>
      <c r="E55" s="130">
        <v>0.5455</v>
      </c>
      <c r="F55" s="130">
        <v>0.5991</v>
      </c>
      <c r="G55" s="130">
        <v>0.6155</v>
      </c>
      <c r="H55" s="130">
        <v>0.6156</v>
      </c>
      <c r="I55" s="130">
        <v>0.615</v>
      </c>
      <c r="J55" s="136">
        <v>0.489</v>
      </c>
      <c r="K55" s="131">
        <v>0.6151</v>
      </c>
      <c r="L55" s="131">
        <v>0.4566</v>
      </c>
      <c r="M55" s="131">
        <v>0.5082</v>
      </c>
      <c r="N55" s="131">
        <v>0.756</v>
      </c>
      <c r="O55" s="131">
        <v>0.7575</v>
      </c>
      <c r="P55" s="137">
        <v>0.7473</v>
      </c>
    </row>
    <row r="56" spans="1:16" ht="12">
      <c r="A56" s="135">
        <v>1989</v>
      </c>
      <c r="B56" s="129">
        <v>5570</v>
      </c>
      <c r="C56" s="130">
        <v>0.6396</v>
      </c>
      <c r="D56" s="130">
        <v>0.6058</v>
      </c>
      <c r="E56" s="130">
        <v>0.5647</v>
      </c>
      <c r="F56" s="130">
        <v>0.6222</v>
      </c>
      <c r="G56" s="130">
        <v>0.6425</v>
      </c>
      <c r="H56" s="130">
        <v>0.6426</v>
      </c>
      <c r="I56" s="130">
        <v>0.6415</v>
      </c>
      <c r="J56" s="136">
        <v>0.5098</v>
      </c>
      <c r="K56" s="131">
        <v>0.6396</v>
      </c>
      <c r="L56" s="131">
        <v>0.467</v>
      </c>
      <c r="M56" s="131">
        <v>0.5163</v>
      </c>
      <c r="N56" s="131">
        <v>0.7701</v>
      </c>
      <c r="O56" s="131">
        <v>0.7698</v>
      </c>
      <c r="P56" s="137">
        <v>0.7722</v>
      </c>
    </row>
    <row r="57" spans="1:16" ht="12">
      <c r="A57" s="135">
        <v>1990</v>
      </c>
      <c r="B57" s="129">
        <v>5914.6</v>
      </c>
      <c r="C57" s="130">
        <v>0.6627</v>
      </c>
      <c r="D57" s="130">
        <v>0.6237</v>
      </c>
      <c r="E57" s="130">
        <v>0.5844</v>
      </c>
      <c r="F57" s="130">
        <v>0.6371</v>
      </c>
      <c r="G57" s="130">
        <v>0.6682</v>
      </c>
      <c r="H57" s="130">
        <v>0.6684</v>
      </c>
      <c r="I57" s="130">
        <v>0.6667</v>
      </c>
      <c r="J57" s="136">
        <v>0.5341</v>
      </c>
      <c r="K57" s="131">
        <v>0.6627</v>
      </c>
      <c r="L57" s="131">
        <v>0.4797</v>
      </c>
      <c r="M57" s="131">
        <v>0.5189</v>
      </c>
      <c r="N57" s="131">
        <v>0.7851</v>
      </c>
      <c r="O57" s="131">
        <v>0.7839</v>
      </c>
      <c r="P57" s="137">
        <v>0.7921</v>
      </c>
    </row>
    <row r="58" spans="1:16" ht="12">
      <c r="A58" s="135">
        <v>1991</v>
      </c>
      <c r="B58" s="129">
        <v>6110.1</v>
      </c>
      <c r="C58" s="130">
        <v>0.6862</v>
      </c>
      <c r="D58" s="130">
        <v>0.6526</v>
      </c>
      <c r="E58" s="130">
        <v>0.6159</v>
      </c>
      <c r="F58" s="130">
        <v>0.6629</v>
      </c>
      <c r="G58" s="130">
        <v>0.6943</v>
      </c>
      <c r="H58" s="130">
        <v>0.6946</v>
      </c>
      <c r="I58" s="130">
        <v>0.6926</v>
      </c>
      <c r="J58" s="136">
        <v>0.5557</v>
      </c>
      <c r="K58" s="131">
        <v>0.6862</v>
      </c>
      <c r="L58" s="131">
        <v>0.5124</v>
      </c>
      <c r="M58" s="131">
        <v>0.5493</v>
      </c>
      <c r="N58" s="131">
        <v>0.8067</v>
      </c>
      <c r="O58" s="131">
        <v>0.8054</v>
      </c>
      <c r="P58" s="137">
        <v>0.8135</v>
      </c>
    </row>
    <row r="59" spans="1:16" ht="12">
      <c r="A59" s="135">
        <v>1992</v>
      </c>
      <c r="B59" s="129">
        <v>6434.7</v>
      </c>
      <c r="C59" s="130">
        <v>0.703</v>
      </c>
      <c r="D59" s="130">
        <v>0.6771</v>
      </c>
      <c r="E59" s="130">
        <v>0.6231</v>
      </c>
      <c r="F59" s="130">
        <v>0.6936</v>
      </c>
      <c r="G59" s="130">
        <v>0.7122</v>
      </c>
      <c r="H59" s="130">
        <v>0.7126</v>
      </c>
      <c r="I59" s="130">
        <v>0.7102</v>
      </c>
      <c r="J59" s="136">
        <v>0.5725</v>
      </c>
      <c r="K59" s="131">
        <v>0.703</v>
      </c>
      <c r="L59" s="131">
        <v>0.5257</v>
      </c>
      <c r="M59" s="131">
        <v>0.5906</v>
      </c>
      <c r="N59" s="131">
        <v>0.8185</v>
      </c>
      <c r="O59" s="131">
        <v>0.8179</v>
      </c>
      <c r="P59" s="137">
        <v>0.8208</v>
      </c>
    </row>
    <row r="60" spans="1:16" ht="12">
      <c r="A60" s="135">
        <v>1993</v>
      </c>
      <c r="B60" s="129">
        <v>6794.9</v>
      </c>
      <c r="C60" s="130">
        <v>0.7197</v>
      </c>
      <c r="D60" s="130">
        <v>0.6972</v>
      </c>
      <c r="E60" s="130">
        <v>0.6302</v>
      </c>
      <c r="F60" s="130">
        <v>0.7171</v>
      </c>
      <c r="G60" s="130">
        <v>0.7306</v>
      </c>
      <c r="H60" s="130">
        <v>0.731</v>
      </c>
      <c r="I60" s="130">
        <v>0.728</v>
      </c>
      <c r="J60" s="136">
        <v>0.5909</v>
      </c>
      <c r="K60" s="131">
        <v>0.7197</v>
      </c>
      <c r="L60" s="131">
        <v>0.556</v>
      </c>
      <c r="M60" s="131">
        <v>0.6362</v>
      </c>
      <c r="N60" s="131">
        <v>0.8359</v>
      </c>
      <c r="O60" s="131">
        <v>0.8366</v>
      </c>
      <c r="P60" s="137">
        <v>0.8332</v>
      </c>
    </row>
    <row r="61" spans="1:16" ht="12">
      <c r="A61" s="135">
        <v>1994</v>
      </c>
      <c r="B61" s="129">
        <v>7197.8</v>
      </c>
      <c r="C61" s="130">
        <v>0.7354</v>
      </c>
      <c r="D61" s="130">
        <v>0.71</v>
      </c>
      <c r="E61" s="130">
        <v>0.6366</v>
      </c>
      <c r="F61" s="130">
        <v>0.7301</v>
      </c>
      <c r="G61" s="130">
        <v>0.7459</v>
      </c>
      <c r="H61" s="130">
        <v>0.7466</v>
      </c>
      <c r="I61" s="130">
        <v>0.7425</v>
      </c>
      <c r="J61" s="136">
        <v>0.6066</v>
      </c>
      <c r="K61" s="131">
        <v>0.7354</v>
      </c>
      <c r="L61" s="131">
        <v>0.5815</v>
      </c>
      <c r="M61" s="131">
        <v>0.6449</v>
      </c>
      <c r="N61" s="131">
        <v>0.8549</v>
      </c>
      <c r="O61" s="131">
        <v>0.857</v>
      </c>
      <c r="P61" s="137">
        <v>0.8469</v>
      </c>
    </row>
    <row r="62" spans="1:16" ht="12">
      <c r="A62" s="135">
        <v>1995</v>
      </c>
      <c r="B62" s="129">
        <v>7583.4</v>
      </c>
      <c r="C62" s="130">
        <v>0.751</v>
      </c>
      <c r="D62" s="130">
        <v>0.7306</v>
      </c>
      <c r="E62" s="130">
        <v>0.6498</v>
      </c>
      <c r="F62" s="130">
        <v>0.7511</v>
      </c>
      <c r="G62" s="130">
        <v>0.7618</v>
      </c>
      <c r="H62" s="130">
        <v>0.7626</v>
      </c>
      <c r="I62" s="130">
        <v>0.7584</v>
      </c>
      <c r="J62" s="136">
        <v>0.6271</v>
      </c>
      <c r="K62" s="131">
        <v>0.751</v>
      </c>
      <c r="L62" s="131">
        <v>0.6001</v>
      </c>
      <c r="M62" s="131">
        <v>0.6851</v>
      </c>
      <c r="N62" s="131">
        <v>0.8766</v>
      </c>
      <c r="O62" s="131">
        <v>0.8788</v>
      </c>
      <c r="P62" s="137">
        <v>0.8701</v>
      </c>
    </row>
    <row r="63" spans="1:16" ht="12">
      <c r="A63" s="135">
        <v>1996</v>
      </c>
      <c r="B63" s="129">
        <v>7978.3</v>
      </c>
      <c r="C63" s="130">
        <v>0.765</v>
      </c>
      <c r="D63" s="130">
        <v>0.7459</v>
      </c>
      <c r="E63" s="130">
        <v>0.6641</v>
      </c>
      <c r="F63" s="130">
        <v>0.7652</v>
      </c>
      <c r="G63" s="130">
        <v>0.7771</v>
      </c>
      <c r="H63" s="130">
        <v>0.7778</v>
      </c>
      <c r="I63" s="130">
        <v>0.7735</v>
      </c>
      <c r="J63" s="136">
        <v>0.6442</v>
      </c>
      <c r="K63" s="131">
        <v>0.765</v>
      </c>
      <c r="L63" s="131">
        <v>0.6282</v>
      </c>
      <c r="M63" s="131">
        <v>0.7057</v>
      </c>
      <c r="N63" s="131">
        <v>0.8885</v>
      </c>
      <c r="O63" s="131">
        <v>0.8925</v>
      </c>
      <c r="P63" s="137">
        <v>0.8779</v>
      </c>
    </row>
    <row r="64" spans="1:16" ht="12">
      <c r="A64" s="135">
        <v>1997</v>
      </c>
      <c r="B64" s="129">
        <v>8483.2</v>
      </c>
      <c r="C64" s="130">
        <v>0.7785</v>
      </c>
      <c r="D64" s="130">
        <v>0.7612</v>
      </c>
      <c r="E64" s="130">
        <v>0.674</v>
      </c>
      <c r="F64" s="130">
        <v>0.7817</v>
      </c>
      <c r="G64" s="130">
        <v>0.7927</v>
      </c>
      <c r="H64" s="130">
        <v>0.7934</v>
      </c>
      <c r="I64" s="130">
        <v>0.789</v>
      </c>
      <c r="J64" s="136">
        <v>0.6559</v>
      </c>
      <c r="K64" s="131">
        <v>0.7785</v>
      </c>
      <c r="L64" s="131">
        <v>0.6431</v>
      </c>
      <c r="M64" s="131">
        <v>0.7203</v>
      </c>
      <c r="N64" s="131">
        <v>0.8858</v>
      </c>
      <c r="O64" s="131">
        <v>0.8888</v>
      </c>
      <c r="P64" s="137">
        <v>0.8778</v>
      </c>
    </row>
    <row r="65" spans="1:16" ht="12">
      <c r="A65" s="135">
        <v>1998</v>
      </c>
      <c r="B65" s="129">
        <v>8954.8</v>
      </c>
      <c r="C65" s="130">
        <v>0.7881</v>
      </c>
      <c r="D65" s="130">
        <v>0.7679</v>
      </c>
      <c r="E65" s="130">
        <v>0.6866</v>
      </c>
      <c r="F65" s="130">
        <v>0.786</v>
      </c>
      <c r="G65" s="130">
        <v>0.7999</v>
      </c>
      <c r="H65" s="130">
        <v>0.8005</v>
      </c>
      <c r="I65" s="130">
        <v>0.7973</v>
      </c>
      <c r="J65" s="136">
        <v>0.665</v>
      </c>
      <c r="K65" s="131">
        <v>0.7881</v>
      </c>
      <c r="L65" s="131">
        <v>0.6583</v>
      </c>
      <c r="M65" s="131">
        <v>0.7101</v>
      </c>
      <c r="N65" s="131">
        <v>0.8865</v>
      </c>
      <c r="O65" s="131">
        <v>0.8887</v>
      </c>
      <c r="P65" s="137">
        <v>0.8786</v>
      </c>
    </row>
    <row r="66" spans="1:16" ht="12">
      <c r="A66" s="135">
        <v>1999</v>
      </c>
      <c r="B66" s="129">
        <v>9510.5</v>
      </c>
      <c r="C66" s="130">
        <v>0.7981</v>
      </c>
      <c r="D66" s="130">
        <v>0.7777</v>
      </c>
      <c r="E66" s="130">
        <v>0.7015</v>
      </c>
      <c r="F66" s="130">
        <v>0.7943</v>
      </c>
      <c r="G66" s="130">
        <v>0.8092</v>
      </c>
      <c r="H66" s="130">
        <v>0.8097</v>
      </c>
      <c r="I66" s="130">
        <v>0.8069</v>
      </c>
      <c r="J66" s="136">
        <v>0.6816</v>
      </c>
      <c r="K66" s="131">
        <v>0.7981</v>
      </c>
      <c r="L66" s="131">
        <v>0.6774</v>
      </c>
      <c r="M66" s="131">
        <v>0.7292</v>
      </c>
      <c r="N66" s="131">
        <v>0.8951</v>
      </c>
      <c r="O66" s="131">
        <v>0.8992</v>
      </c>
      <c r="P66" s="137">
        <v>0.8846</v>
      </c>
    </row>
    <row r="67" spans="1:16" ht="12">
      <c r="A67" s="135">
        <v>2000</v>
      </c>
      <c r="B67" s="129">
        <v>10148.2</v>
      </c>
      <c r="C67" s="130">
        <v>0.8147</v>
      </c>
      <c r="D67" s="130">
        <v>0.797</v>
      </c>
      <c r="E67" s="130">
        <v>0.7235</v>
      </c>
      <c r="F67" s="130">
        <v>0.8133</v>
      </c>
      <c r="G67" s="130">
        <v>0.8283</v>
      </c>
      <c r="H67" s="130">
        <v>0.8289</v>
      </c>
      <c r="I67" s="130">
        <v>0.8256</v>
      </c>
      <c r="J67" s="136">
        <v>0.7074</v>
      </c>
      <c r="K67" s="131">
        <v>0.8147</v>
      </c>
      <c r="L67" s="131">
        <v>0.7093</v>
      </c>
      <c r="M67" s="131">
        <v>0.7551</v>
      </c>
      <c r="N67" s="131">
        <v>0.9079</v>
      </c>
      <c r="O67" s="131">
        <v>0.9108</v>
      </c>
      <c r="P67" s="137">
        <v>0.9017</v>
      </c>
    </row>
    <row r="68" spans="1:16" ht="12">
      <c r="A68" s="135">
        <v>2001</v>
      </c>
      <c r="B68" s="129">
        <v>10564.6</v>
      </c>
      <c r="C68" s="130">
        <v>0.8342</v>
      </c>
      <c r="D68" s="130">
        <v>0.8183</v>
      </c>
      <c r="E68" s="130">
        <v>0.7494</v>
      </c>
      <c r="F68" s="130">
        <v>0.8333</v>
      </c>
      <c r="G68" s="130">
        <v>0.8468</v>
      </c>
      <c r="H68" s="130">
        <v>0.8473</v>
      </c>
      <c r="I68" s="130">
        <v>0.8444</v>
      </c>
      <c r="J68" s="136">
        <v>0.7301</v>
      </c>
      <c r="K68" s="131">
        <v>0.8342</v>
      </c>
      <c r="L68" s="131">
        <v>0.731</v>
      </c>
      <c r="M68" s="131">
        <v>0.7816</v>
      </c>
      <c r="N68" s="131">
        <v>0.9114</v>
      </c>
      <c r="O68" s="131">
        <v>0.9115</v>
      </c>
      <c r="P68" s="137">
        <v>0.9113</v>
      </c>
    </row>
    <row r="69" spans="1:16" ht="12">
      <c r="A69" s="135">
        <v>2002</v>
      </c>
      <c r="B69" s="129">
        <v>10876.9</v>
      </c>
      <c r="C69" s="130">
        <v>0.8477</v>
      </c>
      <c r="D69" s="130">
        <v>0.8319</v>
      </c>
      <c r="E69" s="130">
        <v>0.7761</v>
      </c>
      <c r="F69" s="130">
        <v>0.8446</v>
      </c>
      <c r="G69" s="130">
        <v>0.8568</v>
      </c>
      <c r="H69" s="130">
        <v>0.8573</v>
      </c>
      <c r="I69" s="130">
        <v>0.8547</v>
      </c>
      <c r="J69" s="136">
        <v>0.7444</v>
      </c>
      <c r="K69" s="131">
        <v>0.8477</v>
      </c>
      <c r="L69" s="131">
        <v>0.7702</v>
      </c>
      <c r="M69" s="131">
        <v>0.8084</v>
      </c>
      <c r="N69" s="131">
        <v>0.9061</v>
      </c>
      <c r="O69" s="131">
        <v>0.9041</v>
      </c>
      <c r="P69" s="137">
        <v>0.9107</v>
      </c>
    </row>
    <row r="70" spans="1:16" ht="12">
      <c r="A70" s="135">
        <v>2003</v>
      </c>
      <c r="B70" s="129">
        <v>11332.4</v>
      </c>
      <c r="C70" s="130">
        <v>0.8639</v>
      </c>
      <c r="D70" s="130">
        <v>0.8554</v>
      </c>
      <c r="E70" s="130">
        <v>0.8239</v>
      </c>
      <c r="F70" s="130">
        <v>0.863</v>
      </c>
      <c r="G70" s="130">
        <v>0.874</v>
      </c>
      <c r="H70" s="130">
        <v>0.8745</v>
      </c>
      <c r="I70" s="130">
        <v>0.8719</v>
      </c>
      <c r="J70" s="136">
        <v>0.7672</v>
      </c>
      <c r="K70" s="131">
        <v>0.8639</v>
      </c>
      <c r="L70" s="131">
        <v>0.8057</v>
      </c>
      <c r="M70" s="131">
        <v>0.838</v>
      </c>
      <c r="N70" s="131">
        <v>0.913</v>
      </c>
      <c r="O70" s="131">
        <v>0.9118</v>
      </c>
      <c r="P70" s="137">
        <v>0.916</v>
      </c>
    </row>
    <row r="71" spans="1:16" ht="12">
      <c r="A71" s="135">
        <v>2004</v>
      </c>
      <c r="B71" s="129">
        <v>12088.6</v>
      </c>
      <c r="C71" s="130">
        <v>0.8853</v>
      </c>
      <c r="D71" s="130">
        <v>0.8778</v>
      </c>
      <c r="E71" s="130">
        <v>0.8552</v>
      </c>
      <c r="F71" s="130">
        <v>0.8836</v>
      </c>
      <c r="G71" s="130">
        <v>0.893</v>
      </c>
      <c r="H71" s="130">
        <v>0.8934</v>
      </c>
      <c r="I71" s="130">
        <v>0.8912</v>
      </c>
      <c r="J71" s="136">
        <v>0.7979</v>
      </c>
      <c r="K71" s="131">
        <v>0.8853</v>
      </c>
      <c r="L71" s="131">
        <v>0.8468</v>
      </c>
      <c r="M71" s="131">
        <v>0.868</v>
      </c>
      <c r="N71" s="131">
        <v>0.926</v>
      </c>
      <c r="O71" s="131">
        <v>0.925</v>
      </c>
      <c r="P71" s="137">
        <v>0.9292</v>
      </c>
    </row>
    <row r="72" spans="1:16" ht="12">
      <c r="A72" s="135">
        <v>2005</v>
      </c>
      <c r="B72" s="129">
        <v>12888.9</v>
      </c>
      <c r="C72" s="130">
        <v>0.9131</v>
      </c>
      <c r="D72" s="130">
        <v>0.9081</v>
      </c>
      <c r="E72" s="130">
        <v>0.8963</v>
      </c>
      <c r="F72" s="130">
        <v>0.9111</v>
      </c>
      <c r="G72" s="130">
        <v>0.918</v>
      </c>
      <c r="H72" s="130">
        <v>0.9183</v>
      </c>
      <c r="I72" s="130">
        <v>0.9167</v>
      </c>
      <c r="J72" s="136">
        <v>0.8458</v>
      </c>
      <c r="K72" s="131">
        <v>0.9131</v>
      </c>
      <c r="L72" s="131">
        <v>0.8867</v>
      </c>
      <c r="M72" s="131">
        <v>0.9006</v>
      </c>
      <c r="N72" s="131">
        <v>0.9437</v>
      </c>
      <c r="O72" s="131">
        <v>0.9423</v>
      </c>
      <c r="P72" s="137">
        <v>0.9484</v>
      </c>
    </row>
    <row r="73" spans="1:16" ht="12">
      <c r="A73" s="135">
        <v>2006</v>
      </c>
      <c r="B73" s="129">
        <v>13684.7</v>
      </c>
      <c r="C73" s="130">
        <v>0.9428</v>
      </c>
      <c r="D73" s="130">
        <v>0.9395</v>
      </c>
      <c r="E73" s="130">
        <v>0.935</v>
      </c>
      <c r="F73" s="130">
        <v>0.9406</v>
      </c>
      <c r="G73" s="130">
        <v>0.9457</v>
      </c>
      <c r="H73" s="130">
        <v>0.9459</v>
      </c>
      <c r="I73" s="130">
        <v>0.9446</v>
      </c>
      <c r="J73" s="136">
        <v>0.8892</v>
      </c>
      <c r="K73" s="131">
        <v>0.9428</v>
      </c>
      <c r="L73" s="131">
        <v>0.9229</v>
      </c>
      <c r="M73" s="131">
        <v>0.9326</v>
      </c>
      <c r="N73" s="131">
        <v>0.9601</v>
      </c>
      <c r="O73" s="131">
        <v>0.9593</v>
      </c>
      <c r="P73" s="137">
        <v>0.9626</v>
      </c>
    </row>
    <row r="74" spans="1:16" ht="12">
      <c r="A74" s="135">
        <v>2007</v>
      </c>
      <c r="B74" s="129">
        <v>14322.9</v>
      </c>
      <c r="C74" s="130">
        <v>0.9684</v>
      </c>
      <c r="D74" s="130">
        <v>0.9643</v>
      </c>
      <c r="E74" s="130">
        <v>0.9648</v>
      </c>
      <c r="F74" s="130">
        <v>0.9642</v>
      </c>
      <c r="G74" s="130">
        <v>0.9659</v>
      </c>
      <c r="H74" s="130">
        <v>0.966</v>
      </c>
      <c r="I74" s="130">
        <v>0.9655</v>
      </c>
      <c r="J74" s="136">
        <v>0.9354</v>
      </c>
      <c r="K74" s="131">
        <v>0.9684</v>
      </c>
      <c r="L74" s="131">
        <v>0.9562</v>
      </c>
      <c r="M74" s="131">
        <v>0.9633</v>
      </c>
      <c r="N74" s="131">
        <v>0.9749</v>
      </c>
      <c r="O74" s="131">
        <v>0.9744</v>
      </c>
      <c r="P74" s="137">
        <v>0.9766</v>
      </c>
    </row>
    <row r="75" spans="1:16" ht="12">
      <c r="A75" s="135">
        <v>2008</v>
      </c>
      <c r="B75" s="129">
        <v>14752.4</v>
      </c>
      <c r="C75" s="130">
        <v>0.9885</v>
      </c>
      <c r="D75" s="130">
        <v>0.998</v>
      </c>
      <c r="E75" s="130">
        <v>1.0019</v>
      </c>
      <c r="F75" s="130">
        <v>0.997</v>
      </c>
      <c r="G75" s="130">
        <v>0.9999</v>
      </c>
      <c r="H75" s="130">
        <v>1</v>
      </c>
      <c r="I75" s="130">
        <v>0.9996</v>
      </c>
      <c r="J75" s="136">
        <v>0.9811</v>
      </c>
      <c r="K75" s="131">
        <v>0.9885</v>
      </c>
      <c r="L75" s="131">
        <v>0.9879</v>
      </c>
      <c r="M75" s="131">
        <v>0.9893</v>
      </c>
      <c r="N75" s="131">
        <v>0.9929</v>
      </c>
      <c r="O75" s="131">
        <v>0.9921</v>
      </c>
      <c r="P75" s="137">
        <v>0.9956</v>
      </c>
    </row>
    <row r="76" spans="1:16" ht="12">
      <c r="A76" s="135">
        <v>2009</v>
      </c>
      <c r="B76" s="129">
        <v>14414.6</v>
      </c>
      <c r="C76" s="130">
        <v>1</v>
      </c>
      <c r="D76" s="130">
        <v>1</v>
      </c>
      <c r="E76" s="130">
        <v>1</v>
      </c>
      <c r="F76" s="130">
        <v>1</v>
      </c>
      <c r="G76" s="130">
        <v>1</v>
      </c>
      <c r="H76" s="130">
        <v>1</v>
      </c>
      <c r="I76" s="130">
        <v>1</v>
      </c>
      <c r="J76" s="136">
        <v>1</v>
      </c>
      <c r="K76" s="131">
        <v>1</v>
      </c>
      <c r="L76" s="131">
        <v>1</v>
      </c>
      <c r="M76" s="131">
        <v>1</v>
      </c>
      <c r="N76" s="131">
        <v>1</v>
      </c>
      <c r="O76" s="131">
        <v>1</v>
      </c>
      <c r="P76" s="137">
        <v>1</v>
      </c>
    </row>
    <row r="77" spans="1:16" ht="12">
      <c r="A77" s="135">
        <v>2010</v>
      </c>
      <c r="B77" s="129">
        <v>14798.5</v>
      </c>
      <c r="C77" s="130">
        <v>1.0088</v>
      </c>
      <c r="D77" s="130">
        <v>1.0157</v>
      </c>
      <c r="E77" s="130">
        <v>1.0183</v>
      </c>
      <c r="F77" s="130">
        <v>1.0151</v>
      </c>
      <c r="G77" s="130">
        <v>1.0162</v>
      </c>
      <c r="H77" s="130">
        <v>1.0163</v>
      </c>
      <c r="I77" s="130">
        <v>1.0159</v>
      </c>
      <c r="J77" s="136">
        <v>1.015</v>
      </c>
      <c r="K77" s="131">
        <v>1.0088</v>
      </c>
      <c r="L77" s="131">
        <v>1.032</v>
      </c>
      <c r="M77" s="131">
        <v>1.0152</v>
      </c>
      <c r="N77" s="131">
        <v>1.007</v>
      </c>
      <c r="O77" s="131">
        <v>1.0052</v>
      </c>
      <c r="P77" s="137">
        <v>1.0127</v>
      </c>
    </row>
    <row r="78" spans="1:16" ht="12">
      <c r="A78" s="135">
        <v>2011</v>
      </c>
      <c r="B78" s="129">
        <v>15379.2</v>
      </c>
      <c r="C78" s="130">
        <v>1.0293</v>
      </c>
      <c r="D78" s="130">
        <v>1.0395</v>
      </c>
      <c r="E78" s="130">
        <v>1.0496</v>
      </c>
      <c r="F78" s="130">
        <v>1.0371</v>
      </c>
      <c r="G78" s="130">
        <v>1.0377</v>
      </c>
      <c r="H78" s="130">
        <v>1.0378</v>
      </c>
      <c r="I78" s="130">
        <v>1.0374</v>
      </c>
      <c r="J78" s="136">
        <v>1.0432</v>
      </c>
      <c r="K78" s="131">
        <v>1.0293</v>
      </c>
      <c r="L78" s="131">
        <v>1.0686</v>
      </c>
      <c r="M78" s="131">
        <v>1.0466</v>
      </c>
      <c r="N78" s="131">
        <v>1.0278</v>
      </c>
      <c r="O78" s="131">
        <v>1.0249</v>
      </c>
      <c r="P78" s="137">
        <v>1.0361</v>
      </c>
    </row>
    <row r="79" spans="1:16" ht="12">
      <c r="A79" s="135">
        <v>2012</v>
      </c>
      <c r="B79" s="129">
        <v>16027.2</v>
      </c>
      <c r="C79" s="130">
        <v>1.0481</v>
      </c>
      <c r="D79" s="130">
        <v>1.0603</v>
      </c>
      <c r="E79" s="130">
        <v>1.0647</v>
      </c>
      <c r="F79" s="130">
        <v>1.0592</v>
      </c>
      <c r="G79" s="130">
        <v>1.0597</v>
      </c>
      <c r="H79" s="130">
        <v>1.0597</v>
      </c>
      <c r="I79" s="130">
        <v>1.0596</v>
      </c>
      <c r="J79" s="136">
        <v>1.0693</v>
      </c>
      <c r="K79" s="131">
        <v>1.0481</v>
      </c>
      <c r="L79" s="131">
        <v>1.0839</v>
      </c>
      <c r="M79" s="131">
        <v>1.0683</v>
      </c>
      <c r="N79" s="131">
        <v>1.0394</v>
      </c>
      <c r="O79" s="131">
        <v>1.0373</v>
      </c>
      <c r="P79" s="137">
        <v>1.0459</v>
      </c>
    </row>
    <row r="80" spans="1:16" ht="12">
      <c r="A80" s="135">
        <v>2013</v>
      </c>
      <c r="B80" s="129">
        <v>16515.9</v>
      </c>
      <c r="C80" s="130">
        <v>1.0658</v>
      </c>
      <c r="D80" s="130">
        <v>1.074</v>
      </c>
      <c r="E80" s="130">
        <v>1.0716</v>
      </c>
      <c r="F80" s="130">
        <v>1.0745</v>
      </c>
      <c r="G80" s="130">
        <v>1.0753</v>
      </c>
      <c r="H80" s="130">
        <v>1.0753</v>
      </c>
      <c r="I80" s="130">
        <v>1.0753</v>
      </c>
      <c r="J80" s="136">
        <v>1.0914</v>
      </c>
      <c r="K80" s="131">
        <v>1.0658</v>
      </c>
      <c r="L80" s="131">
        <v>1.0921</v>
      </c>
      <c r="M80" s="131">
        <v>1.0665</v>
      </c>
      <c r="N80" s="131">
        <v>1.0451</v>
      </c>
      <c r="O80" s="131">
        <v>1.0413</v>
      </c>
      <c r="P80" s="137">
        <v>1.0558</v>
      </c>
    </row>
    <row r="81" spans="1:16" ht="12">
      <c r="A81" s="135">
        <v>2014</v>
      </c>
      <c r="B81" s="129">
        <v>17243.6</v>
      </c>
      <c r="C81" s="130">
        <v>1.0852</v>
      </c>
      <c r="D81" s="130">
        <v>1.0905</v>
      </c>
      <c r="E81" s="130">
        <v>1.0885</v>
      </c>
      <c r="F81" s="130">
        <v>1.0909</v>
      </c>
      <c r="G81" s="130">
        <v>1.0916</v>
      </c>
      <c r="H81" s="130">
        <v>1.0916</v>
      </c>
      <c r="I81" s="130">
        <v>1.0916</v>
      </c>
      <c r="J81" s="136">
        <v>1.1152</v>
      </c>
      <c r="K81" s="131">
        <v>1.0852</v>
      </c>
      <c r="L81" s="131">
        <v>1.1289</v>
      </c>
      <c r="M81" s="131">
        <v>1.0819</v>
      </c>
      <c r="N81" s="131">
        <v>1.0589</v>
      </c>
      <c r="O81" s="131">
        <v>1.054</v>
      </c>
      <c r="P81" s="137">
        <v>1.0746</v>
      </c>
    </row>
    <row r="82" spans="1:16" ht="12">
      <c r="A82" s="135">
        <v>2015</v>
      </c>
      <c r="B82" s="129">
        <v>17982.9</v>
      </c>
      <c r="C82" s="130">
        <v>1.0983</v>
      </c>
      <c r="D82" s="130">
        <v>1.0972</v>
      </c>
      <c r="E82" s="130">
        <v>1.093</v>
      </c>
      <c r="F82" s="130">
        <v>1.098</v>
      </c>
      <c r="G82" s="130">
        <v>1.097</v>
      </c>
      <c r="H82" s="130">
        <v>1.097</v>
      </c>
      <c r="I82" s="130">
        <v>1.0971</v>
      </c>
      <c r="J82" s="136">
        <v>1.1273</v>
      </c>
      <c r="K82" s="131">
        <v>1.0983</v>
      </c>
      <c r="L82" s="131">
        <v>1.1414</v>
      </c>
      <c r="M82" s="131">
        <v>1.1144</v>
      </c>
      <c r="N82" s="131">
        <v>1.0635</v>
      </c>
      <c r="O82" s="131">
        <v>1.0574</v>
      </c>
      <c r="P82" s="137">
        <v>1.0802</v>
      </c>
    </row>
    <row r="83" spans="1:16" ht="12">
      <c r="A83" s="135">
        <v>2016</v>
      </c>
      <c r="B83" s="129">
        <v>18469.9</v>
      </c>
      <c r="C83" s="130">
        <v>1.111</v>
      </c>
      <c r="D83" s="130">
        <v>1.1065</v>
      </c>
      <c r="E83" s="130">
        <v>1.0977</v>
      </c>
      <c r="F83" s="130">
        <v>1.1082</v>
      </c>
      <c r="G83" s="130">
        <v>1.1068</v>
      </c>
      <c r="H83" s="130">
        <v>1.1067</v>
      </c>
      <c r="I83" s="130">
        <v>1.1069</v>
      </c>
      <c r="J83" s="136">
        <v>1.1366</v>
      </c>
      <c r="K83" s="131">
        <v>1.111</v>
      </c>
      <c r="L83" s="131">
        <v>1.1546</v>
      </c>
      <c r="M83" s="131">
        <v>1.1255</v>
      </c>
      <c r="N83" s="131">
        <v>1.0632</v>
      </c>
      <c r="O83" s="131">
        <v>1.0565</v>
      </c>
      <c r="P83" s="137">
        <v>1.0829</v>
      </c>
    </row>
    <row r="84" spans="1:16" ht="12">
      <c r="A84" s="135">
        <v>2017</v>
      </c>
      <c r="B84" s="129">
        <v>19177.2</v>
      </c>
      <c r="C84" s="130">
        <v>1.1301</v>
      </c>
      <c r="D84" s="130">
        <v>1.1277</v>
      </c>
      <c r="E84" s="130">
        <v>1.1142</v>
      </c>
      <c r="F84" s="130">
        <v>1.1301</v>
      </c>
      <c r="G84" s="130">
        <v>1.1289</v>
      </c>
      <c r="H84" s="130">
        <v>1.1288</v>
      </c>
      <c r="I84" s="130">
        <v>1.129</v>
      </c>
      <c r="J84" s="136">
        <v>1.1616</v>
      </c>
      <c r="K84" s="131">
        <v>1.1301</v>
      </c>
      <c r="L84" s="131">
        <v>1.1745</v>
      </c>
      <c r="M84" s="131">
        <v>1.1434</v>
      </c>
      <c r="N84" s="131">
        <v>1.0806</v>
      </c>
      <c r="O84" s="131">
        <v>1.0747</v>
      </c>
      <c r="P84" s="137">
        <v>1.1015</v>
      </c>
    </row>
    <row r="85" spans="1:16" ht="12">
      <c r="A85" s="135" t="s">
        <v>341</v>
      </c>
      <c r="B85" s="129">
        <v>20029.3</v>
      </c>
      <c r="C85" s="130">
        <v>1.1478</v>
      </c>
      <c r="D85" s="130">
        <v>1.1516</v>
      </c>
      <c r="E85" s="130">
        <v>1.1316</v>
      </c>
      <c r="F85" s="130">
        <v>1.1553</v>
      </c>
      <c r="G85" s="130">
        <v>1.1541</v>
      </c>
      <c r="H85" s="130">
        <v>1.1541</v>
      </c>
      <c r="I85" s="130">
        <v>1.1543</v>
      </c>
      <c r="J85" s="136">
        <v>1.1941</v>
      </c>
      <c r="K85" s="131">
        <v>1.1478</v>
      </c>
      <c r="L85" s="131">
        <v>1.1929</v>
      </c>
      <c r="M85" s="131">
        <v>1.1667</v>
      </c>
      <c r="N85" s="131">
        <v>1.0974</v>
      </c>
      <c r="O85" s="131">
        <v>1.0915</v>
      </c>
      <c r="P85" s="137">
        <v>1.1188</v>
      </c>
    </row>
    <row r="86" spans="1:16" ht="12">
      <c r="A86" s="135" t="s">
        <v>342</v>
      </c>
      <c r="B86" s="129">
        <v>21003.1</v>
      </c>
      <c r="C86" s="130">
        <v>1.167</v>
      </c>
      <c r="D86" s="130">
        <v>1.1729</v>
      </c>
      <c r="E86" s="130">
        <v>1.1502</v>
      </c>
      <c r="F86" s="130">
        <v>1.1772</v>
      </c>
      <c r="G86" s="130">
        <v>1.1764</v>
      </c>
      <c r="H86" s="130">
        <v>1.1763</v>
      </c>
      <c r="I86" s="130">
        <v>1.1765</v>
      </c>
      <c r="J86" s="136">
        <v>1.2187</v>
      </c>
      <c r="K86" s="131">
        <v>1.167</v>
      </c>
      <c r="L86" s="131">
        <v>1.2128</v>
      </c>
      <c r="M86" s="131">
        <v>1.1845</v>
      </c>
      <c r="N86" s="131">
        <v>1.1152</v>
      </c>
      <c r="O86" s="131">
        <v>1.1097</v>
      </c>
      <c r="P86" s="137">
        <v>1.1375</v>
      </c>
    </row>
    <row r="87" spans="1:16" ht="12">
      <c r="A87" s="135" t="s">
        <v>343</v>
      </c>
      <c r="B87" s="129">
        <v>22068.8</v>
      </c>
      <c r="C87" s="130">
        <v>1.1886</v>
      </c>
      <c r="D87" s="130">
        <v>1.1967</v>
      </c>
      <c r="E87" s="130">
        <v>1.1715</v>
      </c>
      <c r="F87" s="130">
        <v>1.2016</v>
      </c>
      <c r="G87" s="130">
        <v>1.2014</v>
      </c>
      <c r="H87" s="130">
        <v>1.2014</v>
      </c>
      <c r="I87" s="130">
        <v>1.2017</v>
      </c>
      <c r="J87" s="136">
        <v>1.2564</v>
      </c>
      <c r="K87" s="131">
        <v>1.1886</v>
      </c>
      <c r="L87" s="131">
        <v>1.2353</v>
      </c>
      <c r="M87" s="131">
        <v>1.2064</v>
      </c>
      <c r="N87" s="131">
        <v>1.1343</v>
      </c>
      <c r="O87" s="131">
        <v>1.1303</v>
      </c>
      <c r="P87" s="137">
        <v>1.1585</v>
      </c>
    </row>
    <row r="88" spans="1:16" ht="12">
      <c r="A88" s="135" t="s">
        <v>344</v>
      </c>
      <c r="B88" s="129">
        <v>23193.7</v>
      </c>
      <c r="C88" s="130">
        <v>1.2121</v>
      </c>
      <c r="D88" s="130">
        <v>1.223</v>
      </c>
      <c r="E88" s="130">
        <v>1.1946</v>
      </c>
      <c r="F88" s="130">
        <v>1.2284</v>
      </c>
      <c r="G88" s="130">
        <v>1.2286</v>
      </c>
      <c r="H88" s="130">
        <v>1.2286</v>
      </c>
      <c r="I88" s="130">
        <v>1.2289</v>
      </c>
      <c r="J88" s="136">
        <v>1.2933</v>
      </c>
      <c r="K88" s="131">
        <v>1.2121</v>
      </c>
      <c r="L88" s="131">
        <v>1.2597</v>
      </c>
      <c r="M88" s="131">
        <v>1.2303</v>
      </c>
      <c r="N88" s="131">
        <v>1.156</v>
      </c>
      <c r="O88" s="131">
        <v>1.1526</v>
      </c>
      <c r="P88" s="137">
        <v>1.1814</v>
      </c>
    </row>
    <row r="89" spans="1:16" ht="12">
      <c r="A89" s="135" t="s">
        <v>345</v>
      </c>
      <c r="B89" s="129">
        <v>24368.8</v>
      </c>
      <c r="C89" s="130">
        <v>1.2364</v>
      </c>
      <c r="D89" s="130">
        <v>1.25</v>
      </c>
      <c r="E89" s="130">
        <v>1.2186</v>
      </c>
      <c r="F89" s="130">
        <v>1.2558</v>
      </c>
      <c r="G89" s="130">
        <v>1.2565</v>
      </c>
      <c r="H89" s="130">
        <v>1.2565</v>
      </c>
      <c r="I89" s="130">
        <v>1.2567</v>
      </c>
      <c r="J89" s="136">
        <v>1.3331</v>
      </c>
      <c r="K89" s="131">
        <v>1.2364</v>
      </c>
      <c r="L89" s="131">
        <v>1.2849</v>
      </c>
      <c r="M89" s="131">
        <v>1.2549</v>
      </c>
      <c r="N89" s="131">
        <v>1.1781</v>
      </c>
      <c r="O89" s="131">
        <v>1.1757</v>
      </c>
      <c r="P89" s="137">
        <v>1.2051</v>
      </c>
    </row>
    <row r="90" spans="1:16" ht="12.75" thickBot="1">
      <c r="A90" s="138" t="s">
        <v>346</v>
      </c>
      <c r="B90" s="139">
        <v>25605.2</v>
      </c>
      <c r="C90" s="140">
        <v>1.2613</v>
      </c>
      <c r="D90" s="140">
        <v>1.2778</v>
      </c>
      <c r="E90" s="140">
        <v>1.2431</v>
      </c>
      <c r="F90" s="140">
        <v>1.2841</v>
      </c>
      <c r="G90" s="140">
        <v>1.2851</v>
      </c>
      <c r="H90" s="140">
        <v>1.2851</v>
      </c>
      <c r="I90" s="140">
        <v>1.2853</v>
      </c>
      <c r="J90" s="141">
        <v>1.3728</v>
      </c>
      <c r="K90" s="142">
        <v>1.2613</v>
      </c>
      <c r="L90" s="142">
        <v>1.3108</v>
      </c>
      <c r="M90" s="142">
        <v>1.2802</v>
      </c>
      <c r="N90" s="142">
        <v>1.2011</v>
      </c>
      <c r="O90" s="142">
        <v>1.1994</v>
      </c>
      <c r="P90" s="143">
        <v>1.2294</v>
      </c>
    </row>
    <row r="91" spans="1:16" ht="12" customHeight="1">
      <c r="A91" s="562" t="s">
        <v>347</v>
      </c>
      <c r="B91" s="562"/>
      <c r="C91" s="562"/>
      <c r="D91" s="562"/>
      <c r="E91" s="562"/>
      <c r="F91" s="562"/>
      <c r="G91" s="562"/>
      <c r="H91" s="562"/>
      <c r="I91" s="562"/>
      <c r="J91" s="562"/>
      <c r="K91" s="562"/>
      <c r="L91" s="562"/>
      <c r="M91" s="562"/>
      <c r="N91" s="562"/>
      <c r="O91" s="562"/>
      <c r="P91" s="562"/>
    </row>
    <row r="92" ht="12">
      <c r="A92" s="132" t="s">
        <v>348</v>
      </c>
    </row>
  </sheetData>
  <sheetProtection/>
  <mergeCells count="16">
    <mergeCell ref="A2:P2"/>
    <mergeCell ref="A1:P1"/>
    <mergeCell ref="J4:J5"/>
    <mergeCell ref="K4:K5"/>
    <mergeCell ref="L4:L5"/>
    <mergeCell ref="M4:M5"/>
    <mergeCell ref="N4:P4"/>
    <mergeCell ref="A91:P91"/>
    <mergeCell ref="A3:A5"/>
    <mergeCell ref="B3:B5"/>
    <mergeCell ref="C3:C5"/>
    <mergeCell ref="D3:P3"/>
    <mergeCell ref="D4:D5"/>
    <mergeCell ref="E4:E5"/>
    <mergeCell ref="F4:F5"/>
    <mergeCell ref="G4: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N95"/>
  <sheetViews>
    <sheetView zoomScale="70" zoomScaleNormal="70" zoomScalePageLayoutView="0" workbookViewId="0" topLeftCell="A1">
      <selection activeCell="K3" sqref="K3"/>
    </sheetView>
  </sheetViews>
  <sheetFormatPr defaultColWidth="9.140625" defaultRowHeight="12.75"/>
  <cols>
    <col min="1" max="3" width="15.7109375" style="80" customWidth="1"/>
    <col min="4" max="4" width="5.00390625" style="80" customWidth="1"/>
    <col min="5" max="6" width="8.7109375" style="133" customWidth="1"/>
    <col min="7" max="10" width="15.7109375" style="173" hidden="1" customWidth="1"/>
    <col min="11" max="13" width="15.7109375" style="173" customWidth="1"/>
    <col min="14" max="14" width="9.140625" style="173" customWidth="1"/>
    <col min="15" max="16384" width="9.140625" style="80" customWidth="1"/>
  </cols>
  <sheetData>
    <row r="1" spans="1:14" s="159" customFormat="1" ht="12.75" customHeight="1">
      <c r="A1" s="586" t="s">
        <v>73</v>
      </c>
      <c r="B1" s="588" t="s">
        <v>72</v>
      </c>
      <c r="C1" s="590" t="s">
        <v>75</v>
      </c>
      <c r="E1" s="586" t="s">
        <v>1</v>
      </c>
      <c r="F1" s="588" t="s">
        <v>64</v>
      </c>
      <c r="G1" s="582" t="s">
        <v>70</v>
      </c>
      <c r="H1" s="582"/>
      <c r="I1" s="582" t="s">
        <v>71</v>
      </c>
      <c r="J1" s="582"/>
      <c r="K1" s="582" t="s">
        <v>129</v>
      </c>
      <c r="L1" s="582" t="s">
        <v>130</v>
      </c>
      <c r="M1" s="584" t="s">
        <v>131</v>
      </c>
      <c r="N1" s="161"/>
    </row>
    <row r="2" spans="1:14" s="159" customFormat="1" ht="29.25" customHeight="1">
      <c r="A2" s="587"/>
      <c r="B2" s="589"/>
      <c r="C2" s="591"/>
      <c r="E2" s="587"/>
      <c r="F2" s="589"/>
      <c r="G2" s="165" t="s">
        <v>66</v>
      </c>
      <c r="H2" s="165" t="s">
        <v>67</v>
      </c>
      <c r="I2" s="165" t="s">
        <v>68</v>
      </c>
      <c r="J2" s="165" t="s">
        <v>69</v>
      </c>
      <c r="K2" s="583"/>
      <c r="L2" s="583"/>
      <c r="M2" s="585"/>
      <c r="N2" s="161"/>
    </row>
    <row r="3" spans="1:13" ht="12.75" thickBot="1">
      <c r="A3" s="166">
        <f>((M12/M3)^(1/10))-1</f>
        <v>0.09622645519490214</v>
      </c>
      <c r="B3" s="167">
        <f>((M12/M8)^(1/5))-1</f>
        <v>0.08732222638629117</v>
      </c>
      <c r="C3" s="168">
        <f>((M12/M10)^(1/3))-1</f>
        <v>-0.06790963716826315</v>
      </c>
      <c r="E3" s="169">
        <v>2007</v>
      </c>
      <c r="F3" s="170">
        <f aca="true" t="shared" si="0" ref="F3:F15">F4-1</f>
        <v>-13</v>
      </c>
      <c r="G3" s="171">
        <v>23225</v>
      </c>
      <c r="H3" s="171">
        <v>185216</v>
      </c>
      <c r="I3" s="171">
        <v>282311</v>
      </c>
      <c r="J3" s="171">
        <v>0</v>
      </c>
      <c r="K3" s="171">
        <f aca="true" t="shared" si="1" ref="K3:K11">H3+J3</f>
        <v>185216</v>
      </c>
      <c r="L3" s="171">
        <f aca="true" t="shared" si="2" ref="L3:L12">G3+I3</f>
        <v>305536</v>
      </c>
      <c r="M3" s="172">
        <f aca="true" t="shared" si="3" ref="M3:M12">SUM(K3:L3)</f>
        <v>490752</v>
      </c>
    </row>
    <row r="4" spans="5:13" ht="12">
      <c r="E4" s="169">
        <v>2008</v>
      </c>
      <c r="F4" s="170">
        <f t="shared" si="0"/>
        <v>-12</v>
      </c>
      <c r="G4" s="171">
        <v>0</v>
      </c>
      <c r="H4" s="171">
        <v>286925</v>
      </c>
      <c r="I4" s="171">
        <v>317457</v>
      </c>
      <c r="J4" s="171">
        <v>0</v>
      </c>
      <c r="K4" s="171">
        <f t="shared" si="1"/>
        <v>286925</v>
      </c>
      <c r="L4" s="171">
        <f t="shared" si="2"/>
        <v>317457</v>
      </c>
      <c r="M4" s="172">
        <f t="shared" si="3"/>
        <v>604382</v>
      </c>
    </row>
    <row r="5" spans="5:13" ht="12">
      <c r="E5" s="169">
        <v>2009</v>
      </c>
      <c r="F5" s="170">
        <f t="shared" si="0"/>
        <v>-11</v>
      </c>
      <c r="G5" s="171">
        <v>127383</v>
      </c>
      <c r="H5" s="171">
        <v>155132</v>
      </c>
      <c r="I5" s="171">
        <v>258192</v>
      </c>
      <c r="J5" s="171">
        <v>0</v>
      </c>
      <c r="K5" s="171">
        <f t="shared" si="1"/>
        <v>155132</v>
      </c>
      <c r="L5" s="171">
        <f t="shared" si="2"/>
        <v>385575</v>
      </c>
      <c r="M5" s="172">
        <f t="shared" si="3"/>
        <v>540707</v>
      </c>
    </row>
    <row r="6" spans="5:13" ht="12">
      <c r="E6" s="169">
        <v>2010</v>
      </c>
      <c r="F6" s="170">
        <f t="shared" si="0"/>
        <v>-10</v>
      </c>
      <c r="G6" s="171">
        <v>0</v>
      </c>
      <c r="H6" s="171">
        <v>271008</v>
      </c>
      <c r="I6" s="171">
        <v>381614</v>
      </c>
      <c r="J6" s="171">
        <v>0</v>
      </c>
      <c r="K6" s="171">
        <f t="shared" si="1"/>
        <v>271008</v>
      </c>
      <c r="L6" s="171">
        <f t="shared" si="2"/>
        <v>381614</v>
      </c>
      <c r="M6" s="172">
        <f t="shared" si="3"/>
        <v>652622</v>
      </c>
    </row>
    <row r="7" spans="5:13" ht="12">
      <c r="E7" s="169">
        <v>2011</v>
      </c>
      <c r="F7" s="170">
        <f t="shared" si="0"/>
        <v>-9</v>
      </c>
      <c r="G7" s="171">
        <v>23879.96</v>
      </c>
      <c r="H7" s="171">
        <v>329754.04</v>
      </c>
      <c r="I7" s="171">
        <v>458105.28</v>
      </c>
      <c r="J7" s="171">
        <v>18310</v>
      </c>
      <c r="K7" s="171">
        <f t="shared" si="1"/>
        <v>348064.04</v>
      </c>
      <c r="L7" s="171">
        <f t="shared" si="2"/>
        <v>481985.24000000005</v>
      </c>
      <c r="M7" s="172">
        <f t="shared" si="3"/>
        <v>830049.28</v>
      </c>
    </row>
    <row r="8" spans="5:13" ht="12">
      <c r="E8" s="169">
        <v>2012</v>
      </c>
      <c r="F8" s="170">
        <f t="shared" si="0"/>
        <v>-8</v>
      </c>
      <c r="G8" s="171">
        <v>0</v>
      </c>
      <c r="H8" s="171">
        <v>354713.4</v>
      </c>
      <c r="I8" s="171">
        <v>454519.51</v>
      </c>
      <c r="J8" s="171">
        <v>0</v>
      </c>
      <c r="K8" s="171">
        <f t="shared" si="1"/>
        <v>354713.4</v>
      </c>
      <c r="L8" s="171">
        <f t="shared" si="2"/>
        <v>454519.51</v>
      </c>
      <c r="M8" s="172">
        <f t="shared" si="3"/>
        <v>809232.91</v>
      </c>
    </row>
    <row r="9" spans="5:13" ht="12">
      <c r="E9" s="169">
        <v>2013</v>
      </c>
      <c r="F9" s="170">
        <f t="shared" si="0"/>
        <v>-7</v>
      </c>
      <c r="G9" s="171">
        <v>139750.92</v>
      </c>
      <c r="H9" s="171">
        <v>181968.19</v>
      </c>
      <c r="I9" s="171">
        <v>443342.93</v>
      </c>
      <c r="J9" s="171">
        <v>0</v>
      </c>
      <c r="K9" s="171">
        <f t="shared" si="1"/>
        <v>181968.19</v>
      </c>
      <c r="L9" s="171">
        <f t="shared" si="2"/>
        <v>583093.85</v>
      </c>
      <c r="M9" s="172">
        <f t="shared" si="3"/>
        <v>765062.04</v>
      </c>
    </row>
    <row r="10" spans="5:13" ht="12">
      <c r="E10" s="169">
        <f>E9+1</f>
        <v>2014</v>
      </c>
      <c r="F10" s="170">
        <f t="shared" si="0"/>
        <v>-6</v>
      </c>
      <c r="G10" s="171">
        <v>634952.4</v>
      </c>
      <c r="H10" s="171">
        <v>26088.91</v>
      </c>
      <c r="I10" s="171">
        <v>857724.5</v>
      </c>
      <c r="J10" s="171">
        <v>0</v>
      </c>
      <c r="K10" s="171">
        <f t="shared" si="1"/>
        <v>26088.91</v>
      </c>
      <c r="L10" s="171">
        <f t="shared" si="2"/>
        <v>1492676.9</v>
      </c>
      <c r="M10" s="172">
        <f t="shared" si="3"/>
        <v>1518765.8099999998</v>
      </c>
    </row>
    <row r="11" spans="5:13" ht="12">
      <c r="E11" s="169">
        <f aca="true" t="shared" si="4" ref="E11:F26">E10+1</f>
        <v>2015</v>
      </c>
      <c r="F11" s="170">
        <f t="shared" si="0"/>
        <v>-5</v>
      </c>
      <c r="G11" s="171">
        <v>322227.9</v>
      </c>
      <c r="H11" s="171">
        <v>836747.55</v>
      </c>
      <c r="I11" s="171">
        <v>1028733.32</v>
      </c>
      <c r="J11" s="171">
        <v>12224.3</v>
      </c>
      <c r="K11" s="171">
        <f t="shared" si="1"/>
        <v>848971.8500000001</v>
      </c>
      <c r="L11" s="171">
        <f t="shared" si="2"/>
        <v>1350961.22</v>
      </c>
      <c r="M11" s="172">
        <f t="shared" si="3"/>
        <v>2199933.0700000003</v>
      </c>
    </row>
    <row r="12" spans="5:13" ht="12">
      <c r="E12" s="169">
        <f t="shared" si="4"/>
        <v>2016</v>
      </c>
      <c r="F12" s="170">
        <f t="shared" si="0"/>
        <v>-4</v>
      </c>
      <c r="G12" s="171">
        <v>127109.25</v>
      </c>
      <c r="H12" s="171">
        <v>478194.96</v>
      </c>
      <c r="I12" s="171">
        <v>624420.16</v>
      </c>
      <c r="J12" s="171">
        <v>161.65</v>
      </c>
      <c r="K12" s="171">
        <f>H12+J12</f>
        <v>478356.61000000004</v>
      </c>
      <c r="L12" s="171">
        <f t="shared" si="2"/>
        <v>751529.41</v>
      </c>
      <c r="M12" s="172">
        <f t="shared" si="3"/>
        <v>1229886.02</v>
      </c>
    </row>
    <row r="13" spans="5:13" ht="12">
      <c r="E13" s="169">
        <v>2017</v>
      </c>
      <c r="F13" s="170">
        <f t="shared" si="0"/>
        <v>-3</v>
      </c>
      <c r="G13" s="174" t="s">
        <v>74</v>
      </c>
      <c r="H13" s="174" t="s">
        <v>74</v>
      </c>
      <c r="I13" s="174" t="s">
        <v>74</v>
      </c>
      <c r="J13" s="174" t="s">
        <v>74</v>
      </c>
      <c r="K13" s="174" t="s">
        <v>74</v>
      </c>
      <c r="L13" s="174" t="s">
        <v>74</v>
      </c>
      <c r="M13" s="172">
        <f>M12*(1+$B$3)</f>
        <v>1337282.4054677747</v>
      </c>
    </row>
    <row r="14" spans="5:13" ht="12">
      <c r="E14" s="169">
        <v>2018</v>
      </c>
      <c r="F14" s="170">
        <f t="shared" si="0"/>
        <v>-2</v>
      </c>
      <c r="G14" s="174" t="s">
        <v>74</v>
      </c>
      <c r="H14" s="174" t="s">
        <v>74</v>
      </c>
      <c r="I14" s="174" t="s">
        <v>74</v>
      </c>
      <c r="J14" s="174" t="s">
        <v>74</v>
      </c>
      <c r="K14" s="174" t="s">
        <v>74</v>
      </c>
      <c r="L14" s="174" t="s">
        <v>74</v>
      </c>
      <c r="M14" s="172">
        <f>M13*(1+$B$3)</f>
        <v>1454056.8824204358</v>
      </c>
    </row>
    <row r="15" spans="5:13" ht="12">
      <c r="E15" s="169">
        <f t="shared" si="4"/>
        <v>2019</v>
      </c>
      <c r="F15" s="170">
        <f t="shared" si="0"/>
        <v>-1</v>
      </c>
      <c r="G15" s="174" t="s">
        <v>74</v>
      </c>
      <c r="H15" s="174" t="s">
        <v>74</v>
      </c>
      <c r="I15" s="174" t="s">
        <v>74</v>
      </c>
      <c r="J15" s="174" t="s">
        <v>74</v>
      </c>
      <c r="K15" s="174" t="s">
        <v>74</v>
      </c>
      <c r="L15" s="174" t="s">
        <v>74</v>
      </c>
      <c r="M15" s="172">
        <f>M14*(1+$B$3)</f>
        <v>1581028.3666856978</v>
      </c>
    </row>
    <row r="16" spans="5:13" ht="12">
      <c r="E16" s="169">
        <f t="shared" si="4"/>
        <v>2020</v>
      </c>
      <c r="F16" s="170">
        <f>F17-1</f>
        <v>0</v>
      </c>
      <c r="G16" s="174" t="s">
        <v>74</v>
      </c>
      <c r="H16" s="174" t="s">
        <v>74</v>
      </c>
      <c r="I16" s="174" t="s">
        <v>74</v>
      </c>
      <c r="J16" s="174" t="s">
        <v>74</v>
      </c>
      <c r="K16" s="174" t="s">
        <v>74</v>
      </c>
      <c r="L16" s="174" t="s">
        <v>74</v>
      </c>
      <c r="M16" s="172">
        <f>M15*(1+$B$3)</f>
        <v>1719087.2836445745</v>
      </c>
    </row>
    <row r="17" spans="5:13" ht="12">
      <c r="E17" s="169">
        <f t="shared" si="4"/>
        <v>2021</v>
      </c>
      <c r="F17" s="170">
        <v>1</v>
      </c>
      <c r="G17" s="174" t="s">
        <v>74</v>
      </c>
      <c r="H17" s="174" t="s">
        <v>74</v>
      </c>
      <c r="I17" s="174" t="s">
        <v>74</v>
      </c>
      <c r="J17" s="174" t="s">
        <v>74</v>
      </c>
      <c r="K17" s="174" t="s">
        <v>74</v>
      </c>
      <c r="L17" s="174" t="s">
        <v>74</v>
      </c>
      <c r="M17" s="172">
        <f>M16*(1+$B$3)</f>
        <v>1869201.8126047803</v>
      </c>
    </row>
    <row r="18" spans="5:13" ht="12">
      <c r="E18" s="169">
        <f t="shared" si="4"/>
        <v>2022</v>
      </c>
      <c r="F18" s="170">
        <f>F17+1</f>
        <v>2</v>
      </c>
      <c r="G18" s="174" t="s">
        <v>74</v>
      </c>
      <c r="H18" s="174" t="s">
        <v>74</v>
      </c>
      <c r="I18" s="174" t="s">
        <v>74</v>
      </c>
      <c r="J18" s="174" t="s">
        <v>74</v>
      </c>
      <c r="K18" s="174" t="s">
        <v>74</v>
      </c>
      <c r="L18" s="174" t="s">
        <v>74</v>
      </c>
      <c r="M18" s="172">
        <f>M17</f>
        <v>1869201.8126047803</v>
      </c>
    </row>
    <row r="19" spans="5:13" ht="12">
      <c r="E19" s="169">
        <f t="shared" si="4"/>
        <v>2023</v>
      </c>
      <c r="F19" s="170">
        <f t="shared" si="4"/>
        <v>3</v>
      </c>
      <c r="G19" s="174" t="s">
        <v>74</v>
      </c>
      <c r="H19" s="174" t="s">
        <v>74</v>
      </c>
      <c r="I19" s="174" t="s">
        <v>74</v>
      </c>
      <c r="J19" s="174" t="s">
        <v>74</v>
      </c>
      <c r="K19" s="174" t="s">
        <v>74</v>
      </c>
      <c r="L19" s="174" t="s">
        <v>74</v>
      </c>
      <c r="M19" s="172">
        <f aca="true" t="shared" si="5" ref="M19:M46">M18</f>
        <v>1869201.8126047803</v>
      </c>
    </row>
    <row r="20" spans="5:13" ht="12">
      <c r="E20" s="169">
        <f t="shared" si="4"/>
        <v>2024</v>
      </c>
      <c r="F20" s="170">
        <f t="shared" si="4"/>
        <v>4</v>
      </c>
      <c r="G20" s="174" t="s">
        <v>74</v>
      </c>
      <c r="H20" s="174" t="s">
        <v>74</v>
      </c>
      <c r="I20" s="174" t="s">
        <v>74</v>
      </c>
      <c r="J20" s="174" t="s">
        <v>74</v>
      </c>
      <c r="K20" s="174" t="s">
        <v>74</v>
      </c>
      <c r="L20" s="174" t="s">
        <v>74</v>
      </c>
      <c r="M20" s="172">
        <f t="shared" si="5"/>
        <v>1869201.8126047803</v>
      </c>
    </row>
    <row r="21" spans="5:13" ht="12">
      <c r="E21" s="169">
        <f t="shared" si="4"/>
        <v>2025</v>
      </c>
      <c r="F21" s="170">
        <f t="shared" si="4"/>
        <v>5</v>
      </c>
      <c r="G21" s="174" t="s">
        <v>74</v>
      </c>
      <c r="H21" s="174" t="s">
        <v>74</v>
      </c>
      <c r="I21" s="174" t="s">
        <v>74</v>
      </c>
      <c r="J21" s="174" t="s">
        <v>74</v>
      </c>
      <c r="K21" s="174" t="s">
        <v>74</v>
      </c>
      <c r="L21" s="174" t="s">
        <v>74</v>
      </c>
      <c r="M21" s="172">
        <f t="shared" si="5"/>
        <v>1869201.8126047803</v>
      </c>
    </row>
    <row r="22" spans="5:13" ht="12">
      <c r="E22" s="169">
        <f t="shared" si="4"/>
        <v>2026</v>
      </c>
      <c r="F22" s="170">
        <f t="shared" si="4"/>
        <v>6</v>
      </c>
      <c r="G22" s="174" t="s">
        <v>74</v>
      </c>
      <c r="H22" s="174" t="s">
        <v>74</v>
      </c>
      <c r="I22" s="174" t="s">
        <v>74</v>
      </c>
      <c r="J22" s="174" t="s">
        <v>74</v>
      </c>
      <c r="K22" s="174" t="s">
        <v>74</v>
      </c>
      <c r="L22" s="174" t="s">
        <v>74</v>
      </c>
      <c r="M22" s="172">
        <f t="shared" si="5"/>
        <v>1869201.8126047803</v>
      </c>
    </row>
    <row r="23" spans="5:13" ht="12">
      <c r="E23" s="169">
        <f t="shared" si="4"/>
        <v>2027</v>
      </c>
      <c r="F23" s="170">
        <f t="shared" si="4"/>
        <v>7</v>
      </c>
      <c r="G23" s="174" t="s">
        <v>74</v>
      </c>
      <c r="H23" s="174" t="s">
        <v>74</v>
      </c>
      <c r="I23" s="174" t="s">
        <v>74</v>
      </c>
      <c r="J23" s="174" t="s">
        <v>74</v>
      </c>
      <c r="K23" s="174" t="s">
        <v>74</v>
      </c>
      <c r="L23" s="174" t="s">
        <v>74</v>
      </c>
      <c r="M23" s="172">
        <f t="shared" si="5"/>
        <v>1869201.8126047803</v>
      </c>
    </row>
    <row r="24" spans="5:13" ht="12">
      <c r="E24" s="169">
        <f t="shared" si="4"/>
        <v>2028</v>
      </c>
      <c r="F24" s="170">
        <f t="shared" si="4"/>
        <v>8</v>
      </c>
      <c r="G24" s="174" t="s">
        <v>74</v>
      </c>
      <c r="H24" s="174" t="s">
        <v>74</v>
      </c>
      <c r="I24" s="174" t="s">
        <v>74</v>
      </c>
      <c r="J24" s="174" t="s">
        <v>74</v>
      </c>
      <c r="K24" s="174" t="s">
        <v>74</v>
      </c>
      <c r="L24" s="174" t="s">
        <v>74</v>
      </c>
      <c r="M24" s="172">
        <f t="shared" si="5"/>
        <v>1869201.8126047803</v>
      </c>
    </row>
    <row r="25" spans="5:13" ht="12">
      <c r="E25" s="169">
        <f t="shared" si="4"/>
        <v>2029</v>
      </c>
      <c r="F25" s="170">
        <f t="shared" si="4"/>
        <v>9</v>
      </c>
      <c r="G25" s="174" t="s">
        <v>74</v>
      </c>
      <c r="H25" s="174" t="s">
        <v>74</v>
      </c>
      <c r="I25" s="174" t="s">
        <v>74</v>
      </c>
      <c r="J25" s="174" t="s">
        <v>74</v>
      </c>
      <c r="K25" s="174" t="s">
        <v>74</v>
      </c>
      <c r="L25" s="174" t="s">
        <v>74</v>
      </c>
      <c r="M25" s="172">
        <f t="shared" si="5"/>
        <v>1869201.8126047803</v>
      </c>
    </row>
    <row r="26" spans="5:13" ht="12">
      <c r="E26" s="169">
        <f t="shared" si="4"/>
        <v>2030</v>
      </c>
      <c r="F26" s="170">
        <f t="shared" si="4"/>
        <v>10</v>
      </c>
      <c r="G26" s="174" t="s">
        <v>74</v>
      </c>
      <c r="H26" s="174" t="s">
        <v>74</v>
      </c>
      <c r="I26" s="174" t="s">
        <v>74</v>
      </c>
      <c r="J26" s="174" t="s">
        <v>74</v>
      </c>
      <c r="K26" s="174" t="s">
        <v>74</v>
      </c>
      <c r="L26" s="174" t="s">
        <v>74</v>
      </c>
      <c r="M26" s="172">
        <f t="shared" si="5"/>
        <v>1869201.8126047803</v>
      </c>
    </row>
    <row r="27" spans="5:13" ht="12">
      <c r="E27" s="169">
        <f aca="true" t="shared" si="6" ref="E27:F42">E26+1</f>
        <v>2031</v>
      </c>
      <c r="F27" s="170">
        <f t="shared" si="6"/>
        <v>11</v>
      </c>
      <c r="G27" s="174" t="s">
        <v>74</v>
      </c>
      <c r="H27" s="174" t="s">
        <v>74</v>
      </c>
      <c r="I27" s="174" t="s">
        <v>74</v>
      </c>
      <c r="J27" s="174" t="s">
        <v>74</v>
      </c>
      <c r="K27" s="174" t="s">
        <v>74</v>
      </c>
      <c r="L27" s="174" t="s">
        <v>74</v>
      </c>
      <c r="M27" s="172">
        <f t="shared" si="5"/>
        <v>1869201.8126047803</v>
      </c>
    </row>
    <row r="28" spans="5:13" ht="12">
      <c r="E28" s="169">
        <f t="shared" si="6"/>
        <v>2032</v>
      </c>
      <c r="F28" s="170">
        <f t="shared" si="6"/>
        <v>12</v>
      </c>
      <c r="G28" s="174" t="s">
        <v>74</v>
      </c>
      <c r="H28" s="174" t="s">
        <v>74</v>
      </c>
      <c r="I28" s="174" t="s">
        <v>74</v>
      </c>
      <c r="J28" s="174" t="s">
        <v>74</v>
      </c>
      <c r="K28" s="174" t="s">
        <v>74</v>
      </c>
      <c r="L28" s="174" t="s">
        <v>74</v>
      </c>
      <c r="M28" s="172">
        <f t="shared" si="5"/>
        <v>1869201.8126047803</v>
      </c>
    </row>
    <row r="29" spans="5:13" ht="12">
      <c r="E29" s="169">
        <f t="shared" si="6"/>
        <v>2033</v>
      </c>
      <c r="F29" s="170">
        <f t="shared" si="6"/>
        <v>13</v>
      </c>
      <c r="G29" s="174" t="s">
        <v>74</v>
      </c>
      <c r="H29" s="174" t="s">
        <v>74</v>
      </c>
      <c r="I29" s="174" t="s">
        <v>74</v>
      </c>
      <c r="J29" s="174" t="s">
        <v>74</v>
      </c>
      <c r="K29" s="174" t="s">
        <v>74</v>
      </c>
      <c r="L29" s="174" t="s">
        <v>74</v>
      </c>
      <c r="M29" s="172">
        <f t="shared" si="5"/>
        <v>1869201.8126047803</v>
      </c>
    </row>
    <row r="30" spans="5:13" ht="12">
      <c r="E30" s="169">
        <f t="shared" si="6"/>
        <v>2034</v>
      </c>
      <c r="F30" s="170">
        <f t="shared" si="6"/>
        <v>14</v>
      </c>
      <c r="G30" s="174" t="s">
        <v>74</v>
      </c>
      <c r="H30" s="174" t="s">
        <v>74</v>
      </c>
      <c r="I30" s="174" t="s">
        <v>74</v>
      </c>
      <c r="J30" s="174" t="s">
        <v>74</v>
      </c>
      <c r="K30" s="174" t="s">
        <v>74</v>
      </c>
      <c r="L30" s="174" t="s">
        <v>74</v>
      </c>
      <c r="M30" s="172">
        <f t="shared" si="5"/>
        <v>1869201.8126047803</v>
      </c>
    </row>
    <row r="31" spans="5:13" ht="12">
      <c r="E31" s="169">
        <f t="shared" si="6"/>
        <v>2035</v>
      </c>
      <c r="F31" s="170">
        <f t="shared" si="6"/>
        <v>15</v>
      </c>
      <c r="G31" s="174" t="s">
        <v>74</v>
      </c>
      <c r="H31" s="174" t="s">
        <v>74</v>
      </c>
      <c r="I31" s="174" t="s">
        <v>74</v>
      </c>
      <c r="J31" s="174" t="s">
        <v>74</v>
      </c>
      <c r="K31" s="174" t="s">
        <v>74</v>
      </c>
      <c r="L31" s="174" t="s">
        <v>74</v>
      </c>
      <c r="M31" s="172">
        <f t="shared" si="5"/>
        <v>1869201.8126047803</v>
      </c>
    </row>
    <row r="32" spans="5:13" ht="12">
      <c r="E32" s="169">
        <f t="shared" si="6"/>
        <v>2036</v>
      </c>
      <c r="F32" s="170">
        <f t="shared" si="6"/>
        <v>16</v>
      </c>
      <c r="G32" s="174" t="s">
        <v>74</v>
      </c>
      <c r="H32" s="174" t="s">
        <v>74</v>
      </c>
      <c r="I32" s="174" t="s">
        <v>74</v>
      </c>
      <c r="J32" s="174" t="s">
        <v>74</v>
      </c>
      <c r="K32" s="174" t="s">
        <v>74</v>
      </c>
      <c r="L32" s="174" t="s">
        <v>74</v>
      </c>
      <c r="M32" s="172">
        <f t="shared" si="5"/>
        <v>1869201.8126047803</v>
      </c>
    </row>
    <row r="33" spans="5:13" ht="12">
      <c r="E33" s="169">
        <f t="shared" si="6"/>
        <v>2037</v>
      </c>
      <c r="F33" s="170">
        <f t="shared" si="6"/>
        <v>17</v>
      </c>
      <c r="G33" s="174" t="s">
        <v>74</v>
      </c>
      <c r="H33" s="174" t="s">
        <v>74</v>
      </c>
      <c r="I33" s="174" t="s">
        <v>74</v>
      </c>
      <c r="J33" s="174" t="s">
        <v>74</v>
      </c>
      <c r="K33" s="174" t="s">
        <v>74</v>
      </c>
      <c r="L33" s="174" t="s">
        <v>74</v>
      </c>
      <c r="M33" s="172">
        <f t="shared" si="5"/>
        <v>1869201.8126047803</v>
      </c>
    </row>
    <row r="34" spans="5:13" ht="12">
      <c r="E34" s="169">
        <f t="shared" si="6"/>
        <v>2038</v>
      </c>
      <c r="F34" s="170">
        <f t="shared" si="6"/>
        <v>18</v>
      </c>
      <c r="G34" s="174" t="s">
        <v>74</v>
      </c>
      <c r="H34" s="174" t="s">
        <v>74</v>
      </c>
      <c r="I34" s="174" t="s">
        <v>74</v>
      </c>
      <c r="J34" s="174" t="s">
        <v>74</v>
      </c>
      <c r="K34" s="174" t="s">
        <v>74</v>
      </c>
      <c r="L34" s="174" t="s">
        <v>74</v>
      </c>
      <c r="M34" s="172">
        <f t="shared" si="5"/>
        <v>1869201.8126047803</v>
      </c>
    </row>
    <row r="35" spans="5:13" ht="12">
      <c r="E35" s="169">
        <f t="shared" si="6"/>
        <v>2039</v>
      </c>
      <c r="F35" s="170">
        <f t="shared" si="6"/>
        <v>19</v>
      </c>
      <c r="G35" s="174" t="s">
        <v>74</v>
      </c>
      <c r="H35" s="174" t="s">
        <v>74</v>
      </c>
      <c r="I35" s="174" t="s">
        <v>74</v>
      </c>
      <c r="J35" s="174" t="s">
        <v>74</v>
      </c>
      <c r="K35" s="174" t="s">
        <v>74</v>
      </c>
      <c r="L35" s="174" t="s">
        <v>74</v>
      </c>
      <c r="M35" s="172">
        <f t="shared" si="5"/>
        <v>1869201.8126047803</v>
      </c>
    </row>
    <row r="36" spans="5:13" ht="12">
      <c r="E36" s="169">
        <f t="shared" si="6"/>
        <v>2040</v>
      </c>
      <c r="F36" s="170">
        <f t="shared" si="6"/>
        <v>20</v>
      </c>
      <c r="G36" s="174" t="s">
        <v>74</v>
      </c>
      <c r="H36" s="174" t="s">
        <v>74</v>
      </c>
      <c r="I36" s="174" t="s">
        <v>74</v>
      </c>
      <c r="J36" s="174" t="s">
        <v>74</v>
      </c>
      <c r="K36" s="174" t="s">
        <v>74</v>
      </c>
      <c r="L36" s="174" t="s">
        <v>74</v>
      </c>
      <c r="M36" s="172">
        <f t="shared" si="5"/>
        <v>1869201.8126047803</v>
      </c>
    </row>
    <row r="37" spans="5:13" ht="12">
      <c r="E37" s="169">
        <f t="shared" si="6"/>
        <v>2041</v>
      </c>
      <c r="F37" s="170">
        <f t="shared" si="6"/>
        <v>21</v>
      </c>
      <c r="G37" s="174" t="s">
        <v>74</v>
      </c>
      <c r="H37" s="174" t="s">
        <v>74</v>
      </c>
      <c r="I37" s="174" t="s">
        <v>74</v>
      </c>
      <c r="J37" s="174" t="s">
        <v>74</v>
      </c>
      <c r="K37" s="174" t="s">
        <v>74</v>
      </c>
      <c r="L37" s="174" t="s">
        <v>74</v>
      </c>
      <c r="M37" s="172">
        <f t="shared" si="5"/>
        <v>1869201.8126047803</v>
      </c>
    </row>
    <row r="38" spans="5:13" ht="12">
      <c r="E38" s="169">
        <f t="shared" si="6"/>
        <v>2042</v>
      </c>
      <c r="F38" s="170">
        <f t="shared" si="6"/>
        <v>22</v>
      </c>
      <c r="G38" s="174" t="s">
        <v>74</v>
      </c>
      <c r="H38" s="174" t="s">
        <v>74</v>
      </c>
      <c r="I38" s="174" t="s">
        <v>74</v>
      </c>
      <c r="J38" s="174" t="s">
        <v>74</v>
      </c>
      <c r="K38" s="174" t="s">
        <v>74</v>
      </c>
      <c r="L38" s="174" t="s">
        <v>74</v>
      </c>
      <c r="M38" s="172">
        <f t="shared" si="5"/>
        <v>1869201.8126047803</v>
      </c>
    </row>
    <row r="39" spans="5:13" ht="12">
      <c r="E39" s="169">
        <f t="shared" si="6"/>
        <v>2043</v>
      </c>
      <c r="F39" s="170">
        <f t="shared" si="6"/>
        <v>23</v>
      </c>
      <c r="G39" s="174" t="s">
        <v>74</v>
      </c>
      <c r="H39" s="174" t="s">
        <v>74</v>
      </c>
      <c r="I39" s="174" t="s">
        <v>74</v>
      </c>
      <c r="J39" s="174" t="s">
        <v>74</v>
      </c>
      <c r="K39" s="174" t="s">
        <v>74</v>
      </c>
      <c r="L39" s="174" t="s">
        <v>74</v>
      </c>
      <c r="M39" s="172">
        <f>M38</f>
        <v>1869201.8126047803</v>
      </c>
    </row>
    <row r="40" spans="5:13" ht="12">
      <c r="E40" s="169">
        <f t="shared" si="6"/>
        <v>2044</v>
      </c>
      <c r="F40" s="170">
        <f t="shared" si="6"/>
        <v>24</v>
      </c>
      <c r="G40" s="174" t="s">
        <v>74</v>
      </c>
      <c r="H40" s="174" t="s">
        <v>74</v>
      </c>
      <c r="I40" s="174" t="s">
        <v>74</v>
      </c>
      <c r="J40" s="174" t="s">
        <v>74</v>
      </c>
      <c r="K40" s="174" t="s">
        <v>74</v>
      </c>
      <c r="L40" s="174" t="s">
        <v>74</v>
      </c>
      <c r="M40" s="172">
        <f t="shared" si="5"/>
        <v>1869201.8126047803</v>
      </c>
    </row>
    <row r="41" spans="5:13" ht="12">
      <c r="E41" s="169">
        <f t="shared" si="6"/>
        <v>2045</v>
      </c>
      <c r="F41" s="170">
        <f t="shared" si="6"/>
        <v>25</v>
      </c>
      <c r="G41" s="174" t="s">
        <v>74</v>
      </c>
      <c r="H41" s="174" t="s">
        <v>74</v>
      </c>
      <c r="I41" s="174" t="s">
        <v>74</v>
      </c>
      <c r="J41" s="174" t="s">
        <v>74</v>
      </c>
      <c r="K41" s="174" t="s">
        <v>74</v>
      </c>
      <c r="L41" s="174" t="s">
        <v>74</v>
      </c>
      <c r="M41" s="172">
        <f t="shared" si="5"/>
        <v>1869201.8126047803</v>
      </c>
    </row>
    <row r="42" spans="5:13" ht="12">
      <c r="E42" s="169">
        <f t="shared" si="6"/>
        <v>2046</v>
      </c>
      <c r="F42" s="170">
        <f t="shared" si="6"/>
        <v>26</v>
      </c>
      <c r="G42" s="174" t="s">
        <v>74</v>
      </c>
      <c r="H42" s="174" t="s">
        <v>74</v>
      </c>
      <c r="I42" s="174" t="s">
        <v>74</v>
      </c>
      <c r="J42" s="174" t="s">
        <v>74</v>
      </c>
      <c r="K42" s="174" t="s">
        <v>74</v>
      </c>
      <c r="L42" s="174" t="s">
        <v>74</v>
      </c>
      <c r="M42" s="172">
        <f t="shared" si="5"/>
        <v>1869201.8126047803</v>
      </c>
    </row>
    <row r="43" spans="5:13" ht="12">
      <c r="E43" s="169">
        <f aca="true" t="shared" si="7" ref="E43:F46">E42+1</f>
        <v>2047</v>
      </c>
      <c r="F43" s="170">
        <f t="shared" si="7"/>
        <v>27</v>
      </c>
      <c r="G43" s="174" t="s">
        <v>74</v>
      </c>
      <c r="H43" s="174" t="s">
        <v>74</v>
      </c>
      <c r="I43" s="174" t="s">
        <v>74</v>
      </c>
      <c r="J43" s="174" t="s">
        <v>74</v>
      </c>
      <c r="K43" s="174" t="s">
        <v>74</v>
      </c>
      <c r="L43" s="174" t="s">
        <v>74</v>
      </c>
      <c r="M43" s="172">
        <f t="shared" si="5"/>
        <v>1869201.8126047803</v>
      </c>
    </row>
    <row r="44" spans="5:13" ht="12">
      <c r="E44" s="169">
        <f t="shared" si="7"/>
        <v>2048</v>
      </c>
      <c r="F44" s="170">
        <f t="shared" si="7"/>
        <v>28</v>
      </c>
      <c r="G44" s="174" t="s">
        <v>74</v>
      </c>
      <c r="H44" s="174" t="s">
        <v>74</v>
      </c>
      <c r="I44" s="174" t="s">
        <v>74</v>
      </c>
      <c r="J44" s="174" t="s">
        <v>74</v>
      </c>
      <c r="K44" s="174" t="s">
        <v>74</v>
      </c>
      <c r="L44" s="174" t="s">
        <v>74</v>
      </c>
      <c r="M44" s="172">
        <f t="shared" si="5"/>
        <v>1869201.8126047803</v>
      </c>
    </row>
    <row r="45" spans="5:13" ht="12">
      <c r="E45" s="169">
        <f t="shared" si="7"/>
        <v>2049</v>
      </c>
      <c r="F45" s="170">
        <f t="shared" si="7"/>
        <v>29</v>
      </c>
      <c r="G45" s="174" t="s">
        <v>74</v>
      </c>
      <c r="H45" s="174" t="s">
        <v>74</v>
      </c>
      <c r="I45" s="174" t="s">
        <v>74</v>
      </c>
      <c r="J45" s="174" t="s">
        <v>74</v>
      </c>
      <c r="K45" s="174" t="s">
        <v>74</v>
      </c>
      <c r="L45" s="174" t="s">
        <v>74</v>
      </c>
      <c r="M45" s="172">
        <f t="shared" si="5"/>
        <v>1869201.8126047803</v>
      </c>
    </row>
    <row r="46" spans="5:13" ht="12.75" thickBot="1">
      <c r="E46" s="175">
        <f t="shared" si="7"/>
        <v>2050</v>
      </c>
      <c r="F46" s="176">
        <f t="shared" si="7"/>
        <v>30</v>
      </c>
      <c r="G46" s="177" t="s">
        <v>74</v>
      </c>
      <c r="H46" s="177" t="s">
        <v>74</v>
      </c>
      <c r="I46" s="177" t="s">
        <v>74</v>
      </c>
      <c r="J46" s="177" t="s">
        <v>74</v>
      </c>
      <c r="K46" s="177" t="s">
        <v>74</v>
      </c>
      <c r="L46" s="177" t="s">
        <v>74</v>
      </c>
      <c r="M46" s="178">
        <f t="shared" si="5"/>
        <v>1869201.8126047803</v>
      </c>
    </row>
    <row r="47" spans="5:13" ht="12.75" thickBot="1">
      <c r="E47" s="592" t="s">
        <v>463</v>
      </c>
      <c r="F47" s="593"/>
      <c r="G47" s="593"/>
      <c r="H47" s="593"/>
      <c r="I47" s="593"/>
      <c r="J47" s="593"/>
      <c r="K47" s="593"/>
      <c r="L47" s="593"/>
      <c r="M47" s="594"/>
    </row>
    <row r="48" ht="12.75" thickBot="1"/>
    <row r="49" spans="5:13" ht="12">
      <c r="E49" s="586" t="s">
        <v>1</v>
      </c>
      <c r="F49" s="588" t="s">
        <v>64</v>
      </c>
      <c r="G49" s="582" t="s">
        <v>70</v>
      </c>
      <c r="H49" s="582"/>
      <c r="I49" s="582" t="s">
        <v>71</v>
      </c>
      <c r="J49" s="582"/>
      <c r="K49" s="582" t="s">
        <v>129</v>
      </c>
      <c r="L49" s="582" t="s">
        <v>130</v>
      </c>
      <c r="M49" s="584" t="s">
        <v>131</v>
      </c>
    </row>
    <row r="50" spans="5:13" ht="12">
      <c r="E50" s="587"/>
      <c r="F50" s="589"/>
      <c r="G50" s="165" t="s">
        <v>66</v>
      </c>
      <c r="H50" s="165" t="s">
        <v>67</v>
      </c>
      <c r="I50" s="165" t="s">
        <v>68</v>
      </c>
      <c r="J50" s="165" t="s">
        <v>69</v>
      </c>
      <c r="K50" s="583"/>
      <c r="L50" s="583"/>
      <c r="M50" s="585"/>
    </row>
    <row r="51" spans="5:13" ht="12">
      <c r="E51" s="169">
        <v>2007</v>
      </c>
      <c r="F51" s="170">
        <f aca="true" t="shared" si="8" ref="F51:F63">F52-1</f>
        <v>-13</v>
      </c>
      <c r="G51" s="171">
        <v>23225</v>
      </c>
      <c r="H51" s="171">
        <v>185216</v>
      </c>
      <c r="I51" s="171">
        <v>282311</v>
      </c>
      <c r="J51" s="171">
        <v>0</v>
      </c>
      <c r="K51" s="171">
        <f aca="true" t="shared" si="9" ref="K51:M60">ROUND(K3,-3)</f>
        <v>185000</v>
      </c>
      <c r="L51" s="171">
        <f t="shared" si="9"/>
        <v>306000</v>
      </c>
      <c r="M51" s="172">
        <f t="shared" si="9"/>
        <v>491000</v>
      </c>
    </row>
    <row r="52" spans="5:13" ht="12">
      <c r="E52" s="169">
        <v>2008</v>
      </c>
      <c r="F52" s="170">
        <f t="shared" si="8"/>
        <v>-12</v>
      </c>
      <c r="G52" s="171">
        <v>0</v>
      </c>
      <c r="H52" s="171">
        <v>286925</v>
      </c>
      <c r="I52" s="171">
        <v>317457</v>
      </c>
      <c r="J52" s="171">
        <v>0</v>
      </c>
      <c r="K52" s="171">
        <f t="shared" si="9"/>
        <v>287000</v>
      </c>
      <c r="L52" s="171">
        <f t="shared" si="9"/>
        <v>317000</v>
      </c>
      <c r="M52" s="172">
        <f t="shared" si="9"/>
        <v>604000</v>
      </c>
    </row>
    <row r="53" spans="5:13" ht="12">
      <c r="E53" s="169">
        <v>2009</v>
      </c>
      <c r="F53" s="170">
        <f t="shared" si="8"/>
        <v>-11</v>
      </c>
      <c r="G53" s="171">
        <v>127383</v>
      </c>
      <c r="H53" s="171">
        <v>155132</v>
      </c>
      <c r="I53" s="171">
        <v>258192</v>
      </c>
      <c r="J53" s="171">
        <v>0</v>
      </c>
      <c r="K53" s="171">
        <f t="shared" si="9"/>
        <v>155000</v>
      </c>
      <c r="L53" s="171">
        <f t="shared" si="9"/>
        <v>386000</v>
      </c>
      <c r="M53" s="172">
        <f t="shared" si="9"/>
        <v>541000</v>
      </c>
    </row>
    <row r="54" spans="5:13" ht="12">
      <c r="E54" s="169">
        <v>2010</v>
      </c>
      <c r="F54" s="170">
        <f t="shared" si="8"/>
        <v>-10</v>
      </c>
      <c r="G54" s="171">
        <v>0</v>
      </c>
      <c r="H54" s="171">
        <v>271008</v>
      </c>
      <c r="I54" s="171">
        <v>381614</v>
      </c>
      <c r="J54" s="171">
        <v>0</v>
      </c>
      <c r="K54" s="171">
        <f t="shared" si="9"/>
        <v>271000</v>
      </c>
      <c r="L54" s="171">
        <f t="shared" si="9"/>
        <v>382000</v>
      </c>
      <c r="M54" s="172">
        <f t="shared" si="9"/>
        <v>653000</v>
      </c>
    </row>
    <row r="55" spans="5:13" ht="12">
      <c r="E55" s="169">
        <v>2011</v>
      </c>
      <c r="F55" s="170">
        <f t="shared" si="8"/>
        <v>-9</v>
      </c>
      <c r="G55" s="171">
        <v>23879.96</v>
      </c>
      <c r="H55" s="171">
        <v>329754.04</v>
      </c>
      <c r="I55" s="171">
        <v>458105.28</v>
      </c>
      <c r="J55" s="171">
        <v>18310</v>
      </c>
      <c r="K55" s="171">
        <f t="shared" si="9"/>
        <v>348000</v>
      </c>
      <c r="L55" s="171">
        <f t="shared" si="9"/>
        <v>482000</v>
      </c>
      <c r="M55" s="172">
        <f t="shared" si="9"/>
        <v>830000</v>
      </c>
    </row>
    <row r="56" spans="5:13" ht="12">
      <c r="E56" s="169">
        <v>2012</v>
      </c>
      <c r="F56" s="170">
        <f t="shared" si="8"/>
        <v>-8</v>
      </c>
      <c r="G56" s="171">
        <v>0</v>
      </c>
      <c r="H56" s="171">
        <v>354713.4</v>
      </c>
      <c r="I56" s="171">
        <v>454519.51</v>
      </c>
      <c r="J56" s="171">
        <v>0</v>
      </c>
      <c r="K56" s="171">
        <f t="shared" si="9"/>
        <v>355000</v>
      </c>
      <c r="L56" s="171">
        <f t="shared" si="9"/>
        <v>455000</v>
      </c>
      <c r="M56" s="172">
        <f t="shared" si="9"/>
        <v>809000</v>
      </c>
    </row>
    <row r="57" spans="5:13" ht="12">
      <c r="E57" s="169">
        <v>2013</v>
      </c>
      <c r="F57" s="170">
        <f t="shared" si="8"/>
        <v>-7</v>
      </c>
      <c r="G57" s="171">
        <v>139750.92</v>
      </c>
      <c r="H57" s="171">
        <v>181968.19</v>
      </c>
      <c r="I57" s="171">
        <v>443342.93</v>
      </c>
      <c r="J57" s="171">
        <v>0</v>
      </c>
      <c r="K57" s="171">
        <f t="shared" si="9"/>
        <v>182000</v>
      </c>
      <c r="L57" s="171">
        <f t="shared" si="9"/>
        <v>583000</v>
      </c>
      <c r="M57" s="172">
        <f t="shared" si="9"/>
        <v>765000</v>
      </c>
    </row>
    <row r="58" spans="5:13" ht="12">
      <c r="E58" s="169">
        <f>E57+1</f>
        <v>2014</v>
      </c>
      <c r="F58" s="170">
        <f t="shared" si="8"/>
        <v>-6</v>
      </c>
      <c r="G58" s="171">
        <v>634952.4</v>
      </c>
      <c r="H58" s="171">
        <v>26088.91</v>
      </c>
      <c r="I58" s="171">
        <v>857724.5</v>
      </c>
      <c r="J58" s="171">
        <v>0</v>
      </c>
      <c r="K58" s="171">
        <f t="shared" si="9"/>
        <v>26000</v>
      </c>
      <c r="L58" s="171">
        <f t="shared" si="9"/>
        <v>1493000</v>
      </c>
      <c r="M58" s="172">
        <f t="shared" si="9"/>
        <v>1519000</v>
      </c>
    </row>
    <row r="59" spans="5:13" ht="12">
      <c r="E59" s="169">
        <f>E58+1</f>
        <v>2015</v>
      </c>
      <c r="F59" s="170">
        <f t="shared" si="8"/>
        <v>-5</v>
      </c>
      <c r="G59" s="171">
        <v>322227.9</v>
      </c>
      <c r="H59" s="171">
        <v>836747.55</v>
      </c>
      <c r="I59" s="171">
        <v>1028733.32</v>
      </c>
      <c r="J59" s="171">
        <v>12224.3</v>
      </c>
      <c r="K59" s="171">
        <f t="shared" si="9"/>
        <v>849000</v>
      </c>
      <c r="L59" s="171">
        <f t="shared" si="9"/>
        <v>1351000</v>
      </c>
      <c r="M59" s="172">
        <f t="shared" si="9"/>
        <v>2200000</v>
      </c>
    </row>
    <row r="60" spans="5:13" ht="12">
      <c r="E60" s="169">
        <f>E59+1</f>
        <v>2016</v>
      </c>
      <c r="F60" s="170">
        <f t="shared" si="8"/>
        <v>-4</v>
      </c>
      <c r="G60" s="171">
        <v>127109.25</v>
      </c>
      <c r="H60" s="171">
        <v>478194.96</v>
      </c>
      <c r="I60" s="171">
        <v>624420.16</v>
      </c>
      <c r="J60" s="171">
        <v>161.65</v>
      </c>
      <c r="K60" s="171">
        <f t="shared" si="9"/>
        <v>478000</v>
      </c>
      <c r="L60" s="171">
        <f t="shared" si="9"/>
        <v>752000</v>
      </c>
      <c r="M60" s="172">
        <f t="shared" si="9"/>
        <v>1230000</v>
      </c>
    </row>
    <row r="61" spans="5:13" ht="12">
      <c r="E61" s="169">
        <v>2017</v>
      </c>
      <c r="F61" s="170">
        <f t="shared" si="8"/>
        <v>-3</v>
      </c>
      <c r="G61" s="174" t="s">
        <v>74</v>
      </c>
      <c r="H61" s="174" t="s">
        <v>74</v>
      </c>
      <c r="I61" s="174" t="s">
        <v>74</v>
      </c>
      <c r="J61" s="174" t="s">
        <v>74</v>
      </c>
      <c r="K61" s="174" t="s">
        <v>74</v>
      </c>
      <c r="L61" s="174" t="s">
        <v>74</v>
      </c>
      <c r="M61" s="172">
        <f aca="true" t="shared" si="10" ref="M61:M94">ROUND(M13,-3)</f>
        <v>1337000</v>
      </c>
    </row>
    <row r="62" spans="5:13" ht="12">
      <c r="E62" s="169">
        <v>2018</v>
      </c>
      <c r="F62" s="170">
        <f t="shared" si="8"/>
        <v>-2</v>
      </c>
      <c r="G62" s="174" t="s">
        <v>74</v>
      </c>
      <c r="H62" s="174" t="s">
        <v>74</v>
      </c>
      <c r="I62" s="174" t="s">
        <v>74</v>
      </c>
      <c r="J62" s="174" t="s">
        <v>74</v>
      </c>
      <c r="K62" s="174" t="s">
        <v>74</v>
      </c>
      <c r="L62" s="174" t="s">
        <v>74</v>
      </c>
      <c r="M62" s="172">
        <f t="shared" si="10"/>
        <v>1454000</v>
      </c>
    </row>
    <row r="63" spans="5:13" ht="12">
      <c r="E63" s="169">
        <f aca="true" t="shared" si="11" ref="E63:E94">E62+1</f>
        <v>2019</v>
      </c>
      <c r="F63" s="170">
        <f t="shared" si="8"/>
        <v>-1</v>
      </c>
      <c r="G63" s="174" t="s">
        <v>74</v>
      </c>
      <c r="H63" s="174" t="s">
        <v>74</v>
      </c>
      <c r="I63" s="174" t="s">
        <v>74</v>
      </c>
      <c r="J63" s="174" t="s">
        <v>74</v>
      </c>
      <c r="K63" s="174" t="s">
        <v>74</v>
      </c>
      <c r="L63" s="174" t="s">
        <v>74</v>
      </c>
      <c r="M63" s="172">
        <f t="shared" si="10"/>
        <v>1581000</v>
      </c>
    </row>
    <row r="64" spans="5:13" ht="12">
      <c r="E64" s="169">
        <f t="shared" si="11"/>
        <v>2020</v>
      </c>
      <c r="F64" s="170">
        <f>F65-1</f>
        <v>0</v>
      </c>
      <c r="G64" s="174" t="s">
        <v>74</v>
      </c>
      <c r="H64" s="174" t="s">
        <v>74</v>
      </c>
      <c r="I64" s="174" t="s">
        <v>74</v>
      </c>
      <c r="J64" s="174" t="s">
        <v>74</v>
      </c>
      <c r="K64" s="174" t="s">
        <v>74</v>
      </c>
      <c r="L64" s="174" t="s">
        <v>74</v>
      </c>
      <c r="M64" s="172">
        <f t="shared" si="10"/>
        <v>1719000</v>
      </c>
    </row>
    <row r="65" spans="5:13" ht="12">
      <c r="E65" s="169">
        <f t="shared" si="11"/>
        <v>2021</v>
      </c>
      <c r="F65" s="170">
        <v>1</v>
      </c>
      <c r="G65" s="174" t="s">
        <v>74</v>
      </c>
      <c r="H65" s="174" t="s">
        <v>74</v>
      </c>
      <c r="I65" s="174" t="s">
        <v>74</v>
      </c>
      <c r="J65" s="174" t="s">
        <v>74</v>
      </c>
      <c r="K65" s="174" t="s">
        <v>74</v>
      </c>
      <c r="L65" s="174" t="s">
        <v>74</v>
      </c>
      <c r="M65" s="172">
        <f t="shared" si="10"/>
        <v>1869000</v>
      </c>
    </row>
    <row r="66" spans="5:13" ht="12">
      <c r="E66" s="169">
        <f t="shared" si="11"/>
        <v>2022</v>
      </c>
      <c r="F66" s="170">
        <f aca="true" t="shared" si="12" ref="F66:F94">F65+1</f>
        <v>2</v>
      </c>
      <c r="G66" s="174" t="s">
        <v>74</v>
      </c>
      <c r="H66" s="174" t="s">
        <v>74</v>
      </c>
      <c r="I66" s="174" t="s">
        <v>74</v>
      </c>
      <c r="J66" s="174" t="s">
        <v>74</v>
      </c>
      <c r="K66" s="174" t="s">
        <v>74</v>
      </c>
      <c r="L66" s="174" t="s">
        <v>74</v>
      </c>
      <c r="M66" s="172">
        <f t="shared" si="10"/>
        <v>1869000</v>
      </c>
    </row>
    <row r="67" spans="5:13" ht="12">
      <c r="E67" s="169">
        <f t="shared" si="11"/>
        <v>2023</v>
      </c>
      <c r="F67" s="170">
        <f t="shared" si="12"/>
        <v>3</v>
      </c>
      <c r="G67" s="174" t="s">
        <v>74</v>
      </c>
      <c r="H67" s="174" t="s">
        <v>74</v>
      </c>
      <c r="I67" s="174" t="s">
        <v>74</v>
      </c>
      <c r="J67" s="174" t="s">
        <v>74</v>
      </c>
      <c r="K67" s="174" t="s">
        <v>74</v>
      </c>
      <c r="L67" s="174" t="s">
        <v>74</v>
      </c>
      <c r="M67" s="172">
        <f t="shared" si="10"/>
        <v>1869000</v>
      </c>
    </row>
    <row r="68" spans="5:13" ht="12">
      <c r="E68" s="169">
        <f t="shared" si="11"/>
        <v>2024</v>
      </c>
      <c r="F68" s="170">
        <f t="shared" si="12"/>
        <v>4</v>
      </c>
      <c r="G68" s="174" t="s">
        <v>74</v>
      </c>
      <c r="H68" s="174" t="s">
        <v>74</v>
      </c>
      <c r="I68" s="174" t="s">
        <v>74</v>
      </c>
      <c r="J68" s="174" t="s">
        <v>74</v>
      </c>
      <c r="K68" s="174" t="s">
        <v>74</v>
      </c>
      <c r="L68" s="174" t="s">
        <v>74</v>
      </c>
      <c r="M68" s="172">
        <f t="shared" si="10"/>
        <v>1869000</v>
      </c>
    </row>
    <row r="69" spans="5:13" ht="12">
      <c r="E69" s="169">
        <f t="shared" si="11"/>
        <v>2025</v>
      </c>
      <c r="F69" s="170">
        <f t="shared" si="12"/>
        <v>5</v>
      </c>
      <c r="G69" s="174" t="s">
        <v>74</v>
      </c>
      <c r="H69" s="174" t="s">
        <v>74</v>
      </c>
      <c r="I69" s="174" t="s">
        <v>74</v>
      </c>
      <c r="J69" s="174" t="s">
        <v>74</v>
      </c>
      <c r="K69" s="174" t="s">
        <v>74</v>
      </c>
      <c r="L69" s="174" t="s">
        <v>74</v>
      </c>
      <c r="M69" s="172">
        <f t="shared" si="10"/>
        <v>1869000</v>
      </c>
    </row>
    <row r="70" spans="5:13" ht="12">
      <c r="E70" s="169">
        <f t="shared" si="11"/>
        <v>2026</v>
      </c>
      <c r="F70" s="170">
        <f t="shared" si="12"/>
        <v>6</v>
      </c>
      <c r="G70" s="174" t="s">
        <v>74</v>
      </c>
      <c r="H70" s="174" t="s">
        <v>74</v>
      </c>
      <c r="I70" s="174" t="s">
        <v>74</v>
      </c>
      <c r="J70" s="174" t="s">
        <v>74</v>
      </c>
      <c r="K70" s="174" t="s">
        <v>74</v>
      </c>
      <c r="L70" s="174" t="s">
        <v>74</v>
      </c>
      <c r="M70" s="172">
        <f t="shared" si="10"/>
        <v>1869000</v>
      </c>
    </row>
    <row r="71" spans="5:13" ht="12">
      <c r="E71" s="169">
        <f t="shared" si="11"/>
        <v>2027</v>
      </c>
      <c r="F71" s="170">
        <f t="shared" si="12"/>
        <v>7</v>
      </c>
      <c r="G71" s="174" t="s">
        <v>74</v>
      </c>
      <c r="H71" s="174" t="s">
        <v>74</v>
      </c>
      <c r="I71" s="174" t="s">
        <v>74</v>
      </c>
      <c r="J71" s="174" t="s">
        <v>74</v>
      </c>
      <c r="K71" s="174" t="s">
        <v>74</v>
      </c>
      <c r="L71" s="174" t="s">
        <v>74</v>
      </c>
      <c r="M71" s="172">
        <f t="shared" si="10"/>
        <v>1869000</v>
      </c>
    </row>
    <row r="72" spans="5:13" ht="12">
      <c r="E72" s="169">
        <f t="shared" si="11"/>
        <v>2028</v>
      </c>
      <c r="F72" s="170">
        <f t="shared" si="12"/>
        <v>8</v>
      </c>
      <c r="G72" s="174" t="s">
        <v>74</v>
      </c>
      <c r="H72" s="174" t="s">
        <v>74</v>
      </c>
      <c r="I72" s="174" t="s">
        <v>74</v>
      </c>
      <c r="J72" s="174" t="s">
        <v>74</v>
      </c>
      <c r="K72" s="174" t="s">
        <v>74</v>
      </c>
      <c r="L72" s="174" t="s">
        <v>74</v>
      </c>
      <c r="M72" s="172">
        <f t="shared" si="10"/>
        <v>1869000</v>
      </c>
    </row>
    <row r="73" spans="5:13" ht="12">
      <c r="E73" s="169">
        <f t="shared" si="11"/>
        <v>2029</v>
      </c>
      <c r="F73" s="170">
        <f t="shared" si="12"/>
        <v>9</v>
      </c>
      <c r="G73" s="174" t="s">
        <v>74</v>
      </c>
      <c r="H73" s="174" t="s">
        <v>74</v>
      </c>
      <c r="I73" s="174" t="s">
        <v>74</v>
      </c>
      <c r="J73" s="174" t="s">
        <v>74</v>
      </c>
      <c r="K73" s="174" t="s">
        <v>74</v>
      </c>
      <c r="L73" s="174" t="s">
        <v>74</v>
      </c>
      <c r="M73" s="172">
        <f t="shared" si="10"/>
        <v>1869000</v>
      </c>
    </row>
    <row r="74" spans="5:13" ht="12">
      <c r="E74" s="169">
        <f t="shared" si="11"/>
        <v>2030</v>
      </c>
      <c r="F74" s="170">
        <f t="shared" si="12"/>
        <v>10</v>
      </c>
      <c r="G74" s="174" t="s">
        <v>74</v>
      </c>
      <c r="H74" s="174" t="s">
        <v>74</v>
      </c>
      <c r="I74" s="174" t="s">
        <v>74</v>
      </c>
      <c r="J74" s="174" t="s">
        <v>74</v>
      </c>
      <c r="K74" s="174" t="s">
        <v>74</v>
      </c>
      <c r="L74" s="174" t="s">
        <v>74</v>
      </c>
      <c r="M74" s="172">
        <f t="shared" si="10"/>
        <v>1869000</v>
      </c>
    </row>
    <row r="75" spans="5:13" ht="12">
      <c r="E75" s="169">
        <f t="shared" si="11"/>
        <v>2031</v>
      </c>
      <c r="F75" s="170">
        <f t="shared" si="12"/>
        <v>11</v>
      </c>
      <c r="G75" s="174" t="s">
        <v>74</v>
      </c>
      <c r="H75" s="174" t="s">
        <v>74</v>
      </c>
      <c r="I75" s="174" t="s">
        <v>74</v>
      </c>
      <c r="J75" s="174" t="s">
        <v>74</v>
      </c>
      <c r="K75" s="174" t="s">
        <v>74</v>
      </c>
      <c r="L75" s="174" t="s">
        <v>74</v>
      </c>
      <c r="M75" s="172">
        <f t="shared" si="10"/>
        <v>1869000</v>
      </c>
    </row>
    <row r="76" spans="5:13" ht="12">
      <c r="E76" s="169">
        <f t="shared" si="11"/>
        <v>2032</v>
      </c>
      <c r="F76" s="170">
        <f t="shared" si="12"/>
        <v>12</v>
      </c>
      <c r="G76" s="174" t="s">
        <v>74</v>
      </c>
      <c r="H76" s="174" t="s">
        <v>74</v>
      </c>
      <c r="I76" s="174" t="s">
        <v>74</v>
      </c>
      <c r="J76" s="174" t="s">
        <v>74</v>
      </c>
      <c r="K76" s="174" t="s">
        <v>74</v>
      </c>
      <c r="L76" s="174" t="s">
        <v>74</v>
      </c>
      <c r="M76" s="172">
        <f t="shared" si="10"/>
        <v>1869000</v>
      </c>
    </row>
    <row r="77" spans="5:13" ht="12">
      <c r="E77" s="169">
        <f t="shared" si="11"/>
        <v>2033</v>
      </c>
      <c r="F77" s="170">
        <f t="shared" si="12"/>
        <v>13</v>
      </c>
      <c r="G77" s="174" t="s">
        <v>74</v>
      </c>
      <c r="H77" s="174" t="s">
        <v>74</v>
      </c>
      <c r="I77" s="174" t="s">
        <v>74</v>
      </c>
      <c r="J77" s="174" t="s">
        <v>74</v>
      </c>
      <c r="K77" s="174" t="s">
        <v>74</v>
      </c>
      <c r="L77" s="174" t="s">
        <v>74</v>
      </c>
      <c r="M77" s="172">
        <f t="shared" si="10"/>
        <v>1869000</v>
      </c>
    </row>
    <row r="78" spans="5:13" ht="12">
      <c r="E78" s="169">
        <f t="shared" si="11"/>
        <v>2034</v>
      </c>
      <c r="F78" s="170">
        <f t="shared" si="12"/>
        <v>14</v>
      </c>
      <c r="G78" s="174" t="s">
        <v>74</v>
      </c>
      <c r="H78" s="174" t="s">
        <v>74</v>
      </c>
      <c r="I78" s="174" t="s">
        <v>74</v>
      </c>
      <c r="J78" s="174" t="s">
        <v>74</v>
      </c>
      <c r="K78" s="174" t="s">
        <v>74</v>
      </c>
      <c r="L78" s="174" t="s">
        <v>74</v>
      </c>
      <c r="M78" s="172">
        <f t="shared" si="10"/>
        <v>1869000</v>
      </c>
    </row>
    <row r="79" spans="5:13" ht="12">
      <c r="E79" s="169">
        <f t="shared" si="11"/>
        <v>2035</v>
      </c>
      <c r="F79" s="170">
        <f t="shared" si="12"/>
        <v>15</v>
      </c>
      <c r="G79" s="174" t="s">
        <v>74</v>
      </c>
      <c r="H79" s="174" t="s">
        <v>74</v>
      </c>
      <c r="I79" s="174" t="s">
        <v>74</v>
      </c>
      <c r="J79" s="174" t="s">
        <v>74</v>
      </c>
      <c r="K79" s="174" t="s">
        <v>74</v>
      </c>
      <c r="L79" s="174" t="s">
        <v>74</v>
      </c>
      <c r="M79" s="172">
        <f t="shared" si="10"/>
        <v>1869000</v>
      </c>
    </row>
    <row r="80" spans="5:13" ht="12">
      <c r="E80" s="169">
        <f t="shared" si="11"/>
        <v>2036</v>
      </c>
      <c r="F80" s="170">
        <f t="shared" si="12"/>
        <v>16</v>
      </c>
      <c r="G80" s="174" t="s">
        <v>74</v>
      </c>
      <c r="H80" s="174" t="s">
        <v>74</v>
      </c>
      <c r="I80" s="174" t="s">
        <v>74</v>
      </c>
      <c r="J80" s="174" t="s">
        <v>74</v>
      </c>
      <c r="K80" s="174" t="s">
        <v>74</v>
      </c>
      <c r="L80" s="174" t="s">
        <v>74</v>
      </c>
      <c r="M80" s="172">
        <f t="shared" si="10"/>
        <v>1869000</v>
      </c>
    </row>
    <row r="81" spans="5:13" ht="12">
      <c r="E81" s="169">
        <f t="shared" si="11"/>
        <v>2037</v>
      </c>
      <c r="F81" s="170">
        <f t="shared" si="12"/>
        <v>17</v>
      </c>
      <c r="G81" s="174" t="s">
        <v>74</v>
      </c>
      <c r="H81" s="174" t="s">
        <v>74</v>
      </c>
      <c r="I81" s="174" t="s">
        <v>74</v>
      </c>
      <c r="J81" s="174" t="s">
        <v>74</v>
      </c>
      <c r="K81" s="174" t="s">
        <v>74</v>
      </c>
      <c r="L81" s="174" t="s">
        <v>74</v>
      </c>
      <c r="M81" s="172">
        <f t="shared" si="10"/>
        <v>1869000</v>
      </c>
    </row>
    <row r="82" spans="5:13" ht="12">
      <c r="E82" s="169">
        <f t="shared" si="11"/>
        <v>2038</v>
      </c>
      <c r="F82" s="170">
        <f t="shared" si="12"/>
        <v>18</v>
      </c>
      <c r="G82" s="174" t="s">
        <v>74</v>
      </c>
      <c r="H82" s="174" t="s">
        <v>74</v>
      </c>
      <c r="I82" s="174" t="s">
        <v>74</v>
      </c>
      <c r="J82" s="174" t="s">
        <v>74</v>
      </c>
      <c r="K82" s="174" t="s">
        <v>74</v>
      </c>
      <c r="L82" s="174" t="s">
        <v>74</v>
      </c>
      <c r="M82" s="172">
        <f t="shared" si="10"/>
        <v>1869000</v>
      </c>
    </row>
    <row r="83" spans="5:13" ht="12">
      <c r="E83" s="169">
        <f t="shared" si="11"/>
        <v>2039</v>
      </c>
      <c r="F83" s="170">
        <f t="shared" si="12"/>
        <v>19</v>
      </c>
      <c r="G83" s="174" t="s">
        <v>74</v>
      </c>
      <c r="H83" s="174" t="s">
        <v>74</v>
      </c>
      <c r="I83" s="174" t="s">
        <v>74</v>
      </c>
      <c r="J83" s="174" t="s">
        <v>74</v>
      </c>
      <c r="K83" s="174" t="s">
        <v>74</v>
      </c>
      <c r="L83" s="174" t="s">
        <v>74</v>
      </c>
      <c r="M83" s="172">
        <f t="shared" si="10"/>
        <v>1869000</v>
      </c>
    </row>
    <row r="84" spans="5:13" ht="12">
      <c r="E84" s="169">
        <f t="shared" si="11"/>
        <v>2040</v>
      </c>
      <c r="F84" s="170">
        <f t="shared" si="12"/>
        <v>20</v>
      </c>
      <c r="G84" s="174" t="s">
        <v>74</v>
      </c>
      <c r="H84" s="174" t="s">
        <v>74</v>
      </c>
      <c r="I84" s="174" t="s">
        <v>74</v>
      </c>
      <c r="J84" s="174" t="s">
        <v>74</v>
      </c>
      <c r="K84" s="174" t="s">
        <v>74</v>
      </c>
      <c r="L84" s="174" t="s">
        <v>74</v>
      </c>
      <c r="M84" s="172">
        <f t="shared" si="10"/>
        <v>1869000</v>
      </c>
    </row>
    <row r="85" spans="5:13" ht="12">
      <c r="E85" s="169">
        <f t="shared" si="11"/>
        <v>2041</v>
      </c>
      <c r="F85" s="170">
        <f t="shared" si="12"/>
        <v>21</v>
      </c>
      <c r="G85" s="174" t="s">
        <v>74</v>
      </c>
      <c r="H85" s="174" t="s">
        <v>74</v>
      </c>
      <c r="I85" s="174" t="s">
        <v>74</v>
      </c>
      <c r="J85" s="174" t="s">
        <v>74</v>
      </c>
      <c r="K85" s="174" t="s">
        <v>74</v>
      </c>
      <c r="L85" s="174" t="s">
        <v>74</v>
      </c>
      <c r="M85" s="172">
        <f t="shared" si="10"/>
        <v>1869000</v>
      </c>
    </row>
    <row r="86" spans="5:13" ht="12">
      <c r="E86" s="169">
        <f t="shared" si="11"/>
        <v>2042</v>
      </c>
      <c r="F86" s="170">
        <f t="shared" si="12"/>
        <v>22</v>
      </c>
      <c r="G86" s="174" t="s">
        <v>74</v>
      </c>
      <c r="H86" s="174" t="s">
        <v>74</v>
      </c>
      <c r="I86" s="174" t="s">
        <v>74</v>
      </c>
      <c r="J86" s="174" t="s">
        <v>74</v>
      </c>
      <c r="K86" s="174" t="s">
        <v>74</v>
      </c>
      <c r="L86" s="174" t="s">
        <v>74</v>
      </c>
      <c r="M86" s="172">
        <f t="shared" si="10"/>
        <v>1869000</v>
      </c>
    </row>
    <row r="87" spans="5:13" ht="12">
      <c r="E87" s="169">
        <f t="shared" si="11"/>
        <v>2043</v>
      </c>
      <c r="F87" s="170">
        <f t="shared" si="12"/>
        <v>23</v>
      </c>
      <c r="G87" s="174" t="s">
        <v>74</v>
      </c>
      <c r="H87" s="174" t="s">
        <v>74</v>
      </c>
      <c r="I87" s="174" t="s">
        <v>74</v>
      </c>
      <c r="J87" s="174" t="s">
        <v>74</v>
      </c>
      <c r="K87" s="174" t="s">
        <v>74</v>
      </c>
      <c r="L87" s="174" t="s">
        <v>74</v>
      </c>
      <c r="M87" s="172">
        <f t="shared" si="10"/>
        <v>1869000</v>
      </c>
    </row>
    <row r="88" spans="5:13" ht="12">
      <c r="E88" s="169">
        <f t="shared" si="11"/>
        <v>2044</v>
      </c>
      <c r="F88" s="170">
        <f t="shared" si="12"/>
        <v>24</v>
      </c>
      <c r="G88" s="174" t="s">
        <v>74</v>
      </c>
      <c r="H88" s="174" t="s">
        <v>74</v>
      </c>
      <c r="I88" s="174" t="s">
        <v>74</v>
      </c>
      <c r="J88" s="174" t="s">
        <v>74</v>
      </c>
      <c r="K88" s="174" t="s">
        <v>74</v>
      </c>
      <c r="L88" s="174" t="s">
        <v>74</v>
      </c>
      <c r="M88" s="172">
        <f t="shared" si="10"/>
        <v>1869000</v>
      </c>
    </row>
    <row r="89" spans="5:13" ht="12">
      <c r="E89" s="169">
        <f t="shared" si="11"/>
        <v>2045</v>
      </c>
      <c r="F89" s="170">
        <f t="shared" si="12"/>
        <v>25</v>
      </c>
      <c r="G89" s="174" t="s">
        <v>74</v>
      </c>
      <c r="H89" s="174" t="s">
        <v>74</v>
      </c>
      <c r="I89" s="174" t="s">
        <v>74</v>
      </c>
      <c r="J89" s="174" t="s">
        <v>74</v>
      </c>
      <c r="K89" s="174" t="s">
        <v>74</v>
      </c>
      <c r="L89" s="174" t="s">
        <v>74</v>
      </c>
      <c r="M89" s="172">
        <f t="shared" si="10"/>
        <v>1869000</v>
      </c>
    </row>
    <row r="90" spans="5:13" ht="12">
      <c r="E90" s="169">
        <f t="shared" si="11"/>
        <v>2046</v>
      </c>
      <c r="F90" s="170">
        <f t="shared" si="12"/>
        <v>26</v>
      </c>
      <c r="G90" s="174" t="s">
        <v>74</v>
      </c>
      <c r="H90" s="174" t="s">
        <v>74</v>
      </c>
      <c r="I90" s="174" t="s">
        <v>74</v>
      </c>
      <c r="J90" s="174" t="s">
        <v>74</v>
      </c>
      <c r="K90" s="174" t="s">
        <v>74</v>
      </c>
      <c r="L90" s="174" t="s">
        <v>74</v>
      </c>
      <c r="M90" s="172">
        <f t="shared" si="10"/>
        <v>1869000</v>
      </c>
    </row>
    <row r="91" spans="5:13" ht="12">
      <c r="E91" s="169">
        <f t="shared" si="11"/>
        <v>2047</v>
      </c>
      <c r="F91" s="170">
        <f t="shared" si="12"/>
        <v>27</v>
      </c>
      <c r="G91" s="174" t="s">
        <v>74</v>
      </c>
      <c r="H91" s="174" t="s">
        <v>74</v>
      </c>
      <c r="I91" s="174" t="s">
        <v>74</v>
      </c>
      <c r="J91" s="174" t="s">
        <v>74</v>
      </c>
      <c r="K91" s="174" t="s">
        <v>74</v>
      </c>
      <c r="L91" s="174" t="s">
        <v>74</v>
      </c>
      <c r="M91" s="172">
        <f t="shared" si="10"/>
        <v>1869000</v>
      </c>
    </row>
    <row r="92" spans="5:13" ht="12">
      <c r="E92" s="169">
        <f t="shared" si="11"/>
        <v>2048</v>
      </c>
      <c r="F92" s="170">
        <f t="shared" si="12"/>
        <v>28</v>
      </c>
      <c r="G92" s="174" t="s">
        <v>74</v>
      </c>
      <c r="H92" s="174" t="s">
        <v>74</v>
      </c>
      <c r="I92" s="174" t="s">
        <v>74</v>
      </c>
      <c r="J92" s="174" t="s">
        <v>74</v>
      </c>
      <c r="K92" s="174" t="s">
        <v>74</v>
      </c>
      <c r="L92" s="174" t="s">
        <v>74</v>
      </c>
      <c r="M92" s="172">
        <f t="shared" si="10"/>
        <v>1869000</v>
      </c>
    </row>
    <row r="93" spans="5:13" ht="12">
      <c r="E93" s="169">
        <f t="shared" si="11"/>
        <v>2049</v>
      </c>
      <c r="F93" s="170">
        <f t="shared" si="12"/>
        <v>29</v>
      </c>
      <c r="G93" s="174" t="s">
        <v>74</v>
      </c>
      <c r="H93" s="174" t="s">
        <v>74</v>
      </c>
      <c r="I93" s="174" t="s">
        <v>74</v>
      </c>
      <c r="J93" s="174" t="s">
        <v>74</v>
      </c>
      <c r="K93" s="174" t="s">
        <v>74</v>
      </c>
      <c r="L93" s="174" t="s">
        <v>74</v>
      </c>
      <c r="M93" s="172">
        <f t="shared" si="10"/>
        <v>1869000</v>
      </c>
    </row>
    <row r="94" spans="5:13" ht="12.75" thickBot="1">
      <c r="E94" s="175">
        <f t="shared" si="11"/>
        <v>2050</v>
      </c>
      <c r="F94" s="176">
        <f t="shared" si="12"/>
        <v>30</v>
      </c>
      <c r="G94" s="177" t="s">
        <v>74</v>
      </c>
      <c r="H94" s="177" t="s">
        <v>74</v>
      </c>
      <c r="I94" s="177" t="s">
        <v>74</v>
      </c>
      <c r="J94" s="177" t="s">
        <v>74</v>
      </c>
      <c r="K94" s="177" t="s">
        <v>74</v>
      </c>
      <c r="L94" s="177" t="s">
        <v>74</v>
      </c>
      <c r="M94" s="178">
        <f t="shared" si="10"/>
        <v>1869000</v>
      </c>
    </row>
    <row r="95" spans="5:13" ht="12.75" thickBot="1">
      <c r="E95" s="592" t="s">
        <v>463</v>
      </c>
      <c r="F95" s="593"/>
      <c r="G95" s="593"/>
      <c r="H95" s="593"/>
      <c r="I95" s="593"/>
      <c r="J95" s="593"/>
      <c r="K95" s="593"/>
      <c r="L95" s="593"/>
      <c r="M95" s="594"/>
    </row>
  </sheetData>
  <sheetProtection/>
  <mergeCells count="19">
    <mergeCell ref="L49:L50"/>
    <mergeCell ref="M49:M50"/>
    <mergeCell ref="E95:M95"/>
    <mergeCell ref="G1:H1"/>
    <mergeCell ref="E49:E50"/>
    <mergeCell ref="F49:F50"/>
    <mergeCell ref="G49:H49"/>
    <mergeCell ref="I49:J49"/>
    <mergeCell ref="K49:K50"/>
    <mergeCell ref="E47:M47"/>
    <mergeCell ref="I1:J1"/>
    <mergeCell ref="K1:K2"/>
    <mergeCell ref="L1:L2"/>
    <mergeCell ref="M1:M2"/>
    <mergeCell ref="A1:A2"/>
    <mergeCell ref="B1:B2"/>
    <mergeCell ref="C1:C2"/>
    <mergeCell ref="E1:E2"/>
    <mergeCell ref="F1:F2"/>
  </mergeCells>
  <printOptions/>
  <pageMargins left="0.7" right="0.7" top="0.75" bottom="0.75" header="0.3" footer="0.3"/>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F73"/>
  <sheetViews>
    <sheetView zoomScale="70" zoomScaleNormal="70" zoomScalePageLayoutView="0" workbookViewId="0" topLeftCell="A1">
      <selection activeCell="C4" sqref="C4"/>
    </sheetView>
  </sheetViews>
  <sheetFormatPr defaultColWidth="9.140625" defaultRowHeight="12.75"/>
  <cols>
    <col min="1" max="2" width="8.7109375" style="155" customWidth="1"/>
    <col min="3" max="5" width="15.7109375" style="149" customWidth="1"/>
    <col min="6" max="6" width="9.140625" style="149" customWidth="1"/>
    <col min="7" max="16384" width="9.140625" style="79" customWidth="1"/>
  </cols>
  <sheetData>
    <row r="1" spans="1:6" s="144" customFormat="1" ht="12.75" customHeight="1">
      <c r="A1" s="601" t="s">
        <v>1</v>
      </c>
      <c r="B1" s="599" t="s">
        <v>64</v>
      </c>
      <c r="C1" s="597" t="s">
        <v>239</v>
      </c>
      <c r="D1" s="597" t="s">
        <v>240</v>
      </c>
      <c r="E1" s="595" t="s">
        <v>241</v>
      </c>
      <c r="F1" s="145"/>
    </row>
    <row r="2" spans="1:6" s="144" customFormat="1" ht="29.25" customHeight="1">
      <c r="A2" s="602"/>
      <c r="B2" s="600"/>
      <c r="C2" s="598"/>
      <c r="D2" s="598"/>
      <c r="E2" s="596"/>
      <c r="F2" s="145"/>
    </row>
    <row r="3" spans="1:5" ht="12.75">
      <c r="A3" s="146">
        <v>2018</v>
      </c>
      <c r="B3" s="147">
        <v>-2</v>
      </c>
      <c r="C3" s="150">
        <v>0</v>
      </c>
      <c r="D3" s="150">
        <v>0</v>
      </c>
      <c r="E3" s="148">
        <f>SUM(C3:D3)</f>
        <v>0</v>
      </c>
    </row>
    <row r="4" spans="1:5" ht="12.75">
      <c r="A4" s="146">
        <v>2019</v>
      </c>
      <c r="B4" s="147">
        <v>-1</v>
      </c>
      <c r="C4" s="150">
        <v>0</v>
      </c>
      <c r="D4" s="150">
        <v>0</v>
      </c>
      <c r="E4" s="148">
        <f>SUM(C4:D4)</f>
        <v>0</v>
      </c>
    </row>
    <row r="5" spans="1:5" ht="12.75">
      <c r="A5" s="146">
        <v>2020</v>
      </c>
      <c r="B5" s="147">
        <v>0</v>
      </c>
      <c r="C5" s="150">
        <v>0</v>
      </c>
      <c r="D5" s="150">
        <v>0</v>
      </c>
      <c r="E5" s="148">
        <f aca="true" t="shared" si="0" ref="E5:E34">SUM(C5:D5)</f>
        <v>0</v>
      </c>
    </row>
    <row r="6" spans="1:5" ht="12.75">
      <c r="A6" s="146">
        <v>2021</v>
      </c>
      <c r="B6" s="147">
        <v>1</v>
      </c>
      <c r="C6" s="150">
        <v>10000</v>
      </c>
      <c r="D6" s="150">
        <v>15000</v>
      </c>
      <c r="E6" s="148">
        <f>SUM(C6:D6)</f>
        <v>25000</v>
      </c>
    </row>
    <row r="7" spans="1:5" ht="12.75">
      <c r="A7" s="146">
        <v>2022</v>
      </c>
      <c r="B7" s="147">
        <v>2</v>
      </c>
      <c r="C7" s="150">
        <v>18750</v>
      </c>
      <c r="D7" s="150">
        <v>25000</v>
      </c>
      <c r="E7" s="148">
        <f t="shared" si="0"/>
        <v>43750</v>
      </c>
    </row>
    <row r="8" spans="1:5" ht="12.75">
      <c r="A8" s="146">
        <v>2023</v>
      </c>
      <c r="B8" s="147">
        <v>3</v>
      </c>
      <c r="C8" s="150">
        <v>27500</v>
      </c>
      <c r="D8" s="150">
        <v>35000</v>
      </c>
      <c r="E8" s="148">
        <f t="shared" si="0"/>
        <v>62500</v>
      </c>
    </row>
    <row r="9" spans="1:5" ht="12.75">
      <c r="A9" s="146">
        <v>2024</v>
      </c>
      <c r="B9" s="147">
        <v>4</v>
      </c>
      <c r="C9" s="150">
        <v>36250</v>
      </c>
      <c r="D9" s="150">
        <v>45000</v>
      </c>
      <c r="E9" s="148">
        <f t="shared" si="0"/>
        <v>81250</v>
      </c>
    </row>
    <row r="10" spans="1:5" ht="12.75">
      <c r="A10" s="146">
        <v>2025</v>
      </c>
      <c r="B10" s="147">
        <v>5</v>
      </c>
      <c r="C10" s="150">
        <v>45000</v>
      </c>
      <c r="D10" s="150">
        <v>55000</v>
      </c>
      <c r="E10" s="148">
        <f t="shared" si="0"/>
        <v>100000</v>
      </c>
    </row>
    <row r="11" spans="1:5" ht="12.75">
      <c r="A11" s="146">
        <v>2026</v>
      </c>
      <c r="B11" s="147">
        <v>6</v>
      </c>
      <c r="C11" s="150">
        <v>45000</v>
      </c>
      <c r="D11" s="150">
        <v>55000</v>
      </c>
      <c r="E11" s="148">
        <f t="shared" si="0"/>
        <v>100000</v>
      </c>
    </row>
    <row r="12" spans="1:5" ht="12.75">
      <c r="A12" s="146">
        <v>2027</v>
      </c>
      <c r="B12" s="147">
        <v>7</v>
      </c>
      <c r="C12" s="150">
        <v>0</v>
      </c>
      <c r="D12" s="150">
        <v>0</v>
      </c>
      <c r="E12" s="148">
        <f t="shared" si="0"/>
        <v>0</v>
      </c>
    </row>
    <row r="13" spans="1:5" ht="12.75">
      <c r="A13" s="146">
        <v>2028</v>
      </c>
      <c r="B13" s="147">
        <v>8</v>
      </c>
      <c r="C13" s="150">
        <v>0</v>
      </c>
      <c r="D13" s="150">
        <v>0</v>
      </c>
      <c r="E13" s="148">
        <f t="shared" si="0"/>
        <v>0</v>
      </c>
    </row>
    <row r="14" spans="1:5" ht="12.75">
      <c r="A14" s="146">
        <v>2029</v>
      </c>
      <c r="B14" s="147">
        <v>9</v>
      </c>
      <c r="C14" s="150">
        <v>0</v>
      </c>
      <c r="D14" s="150">
        <v>0</v>
      </c>
      <c r="E14" s="148">
        <f t="shared" si="0"/>
        <v>0</v>
      </c>
    </row>
    <row r="15" spans="1:5" ht="12.75">
      <c r="A15" s="146">
        <v>2030</v>
      </c>
      <c r="B15" s="147">
        <v>10</v>
      </c>
      <c r="C15" s="150">
        <v>0</v>
      </c>
      <c r="D15" s="150">
        <v>0</v>
      </c>
      <c r="E15" s="148">
        <f t="shared" si="0"/>
        <v>0</v>
      </c>
    </row>
    <row r="16" spans="1:5" ht="12.75">
      <c r="A16" s="146">
        <v>2031</v>
      </c>
      <c r="B16" s="147">
        <v>11</v>
      </c>
      <c r="C16" s="150">
        <v>0</v>
      </c>
      <c r="D16" s="150">
        <v>0</v>
      </c>
      <c r="E16" s="148">
        <f t="shared" si="0"/>
        <v>0</v>
      </c>
    </row>
    <row r="17" spans="1:5" ht="12.75">
      <c r="A17" s="146">
        <v>2032</v>
      </c>
      <c r="B17" s="147">
        <v>12</v>
      </c>
      <c r="C17" s="150">
        <v>0</v>
      </c>
      <c r="D17" s="150">
        <v>0</v>
      </c>
      <c r="E17" s="148">
        <f t="shared" si="0"/>
        <v>0</v>
      </c>
    </row>
    <row r="18" spans="1:5" ht="12.75">
      <c r="A18" s="146">
        <v>2033</v>
      </c>
      <c r="B18" s="147">
        <v>13</v>
      </c>
      <c r="C18" s="150">
        <v>0</v>
      </c>
      <c r="D18" s="150">
        <v>0</v>
      </c>
      <c r="E18" s="148">
        <f t="shared" si="0"/>
        <v>0</v>
      </c>
    </row>
    <row r="19" spans="1:5" ht="12.75">
      <c r="A19" s="146">
        <v>2034</v>
      </c>
      <c r="B19" s="147">
        <v>14</v>
      </c>
      <c r="C19" s="150">
        <v>0</v>
      </c>
      <c r="D19" s="150">
        <v>0</v>
      </c>
      <c r="E19" s="148">
        <f t="shared" si="0"/>
        <v>0</v>
      </c>
    </row>
    <row r="20" spans="1:5" ht="12.75">
      <c r="A20" s="146">
        <v>2035</v>
      </c>
      <c r="B20" s="147">
        <v>15</v>
      </c>
      <c r="C20" s="150">
        <v>0</v>
      </c>
      <c r="D20" s="150">
        <v>0</v>
      </c>
      <c r="E20" s="148">
        <f t="shared" si="0"/>
        <v>0</v>
      </c>
    </row>
    <row r="21" spans="1:5" ht="12.75">
      <c r="A21" s="146">
        <v>2036</v>
      </c>
      <c r="B21" s="147">
        <v>16</v>
      </c>
      <c r="C21" s="150">
        <v>0</v>
      </c>
      <c r="D21" s="150">
        <v>0</v>
      </c>
      <c r="E21" s="148">
        <f t="shared" si="0"/>
        <v>0</v>
      </c>
    </row>
    <row r="22" spans="1:5" ht="12.75">
      <c r="A22" s="146">
        <v>2037</v>
      </c>
      <c r="B22" s="147">
        <v>17</v>
      </c>
      <c r="C22" s="150">
        <v>0</v>
      </c>
      <c r="D22" s="150">
        <v>0</v>
      </c>
      <c r="E22" s="148">
        <f t="shared" si="0"/>
        <v>0</v>
      </c>
    </row>
    <row r="23" spans="1:5" ht="12.75">
      <c r="A23" s="146">
        <v>2038</v>
      </c>
      <c r="B23" s="147">
        <v>18</v>
      </c>
      <c r="C23" s="150">
        <v>0</v>
      </c>
      <c r="D23" s="150">
        <v>0</v>
      </c>
      <c r="E23" s="148">
        <f t="shared" si="0"/>
        <v>0</v>
      </c>
    </row>
    <row r="24" spans="1:5" ht="12.75">
      <c r="A24" s="146">
        <v>2039</v>
      </c>
      <c r="B24" s="147">
        <v>19</v>
      </c>
      <c r="C24" s="150">
        <v>0</v>
      </c>
      <c r="D24" s="150">
        <v>0</v>
      </c>
      <c r="E24" s="148">
        <f t="shared" si="0"/>
        <v>0</v>
      </c>
    </row>
    <row r="25" spans="1:5" ht="12.75">
      <c r="A25" s="146">
        <v>2040</v>
      </c>
      <c r="B25" s="147">
        <v>20</v>
      </c>
      <c r="C25" s="150">
        <v>0</v>
      </c>
      <c r="D25" s="150">
        <v>0</v>
      </c>
      <c r="E25" s="148">
        <f t="shared" si="0"/>
        <v>0</v>
      </c>
    </row>
    <row r="26" spans="1:5" ht="12.75">
      <c r="A26" s="146">
        <v>2041</v>
      </c>
      <c r="B26" s="147">
        <v>21</v>
      </c>
      <c r="C26" s="150">
        <v>0</v>
      </c>
      <c r="D26" s="150">
        <v>0</v>
      </c>
      <c r="E26" s="148">
        <f t="shared" si="0"/>
        <v>0</v>
      </c>
    </row>
    <row r="27" spans="1:5" ht="12.75">
      <c r="A27" s="146">
        <v>2042</v>
      </c>
      <c r="B27" s="147">
        <v>22</v>
      </c>
      <c r="C27" s="150">
        <v>0</v>
      </c>
      <c r="D27" s="150">
        <v>0</v>
      </c>
      <c r="E27" s="148">
        <f t="shared" si="0"/>
        <v>0</v>
      </c>
    </row>
    <row r="28" spans="1:5" ht="12.75">
      <c r="A28" s="146">
        <v>2043</v>
      </c>
      <c r="B28" s="147">
        <v>23</v>
      </c>
      <c r="C28" s="150">
        <v>0</v>
      </c>
      <c r="D28" s="150">
        <v>0</v>
      </c>
      <c r="E28" s="148">
        <f t="shared" si="0"/>
        <v>0</v>
      </c>
    </row>
    <row r="29" spans="1:5" ht="12.75">
      <c r="A29" s="146">
        <v>2044</v>
      </c>
      <c r="B29" s="147">
        <v>24</v>
      </c>
      <c r="C29" s="150">
        <v>0</v>
      </c>
      <c r="D29" s="150">
        <v>0</v>
      </c>
      <c r="E29" s="148">
        <f t="shared" si="0"/>
        <v>0</v>
      </c>
    </row>
    <row r="30" spans="1:5" ht="12.75">
      <c r="A30" s="146">
        <v>2045</v>
      </c>
      <c r="B30" s="147">
        <v>25</v>
      </c>
      <c r="C30" s="150">
        <v>0</v>
      </c>
      <c r="D30" s="150">
        <v>0</v>
      </c>
      <c r="E30" s="148">
        <f t="shared" si="0"/>
        <v>0</v>
      </c>
    </row>
    <row r="31" spans="1:5" ht="12.75">
      <c r="A31" s="146">
        <v>2046</v>
      </c>
      <c r="B31" s="147">
        <v>26</v>
      </c>
      <c r="C31" s="150">
        <v>0</v>
      </c>
      <c r="D31" s="150">
        <v>0</v>
      </c>
      <c r="E31" s="148">
        <f t="shared" si="0"/>
        <v>0</v>
      </c>
    </row>
    <row r="32" spans="1:5" ht="12.75">
      <c r="A32" s="146">
        <v>2047</v>
      </c>
      <c r="B32" s="147">
        <v>27</v>
      </c>
      <c r="C32" s="150">
        <v>0</v>
      </c>
      <c r="D32" s="150">
        <v>0</v>
      </c>
      <c r="E32" s="148">
        <f t="shared" si="0"/>
        <v>0</v>
      </c>
    </row>
    <row r="33" spans="1:5" ht="12.75">
      <c r="A33" s="146">
        <v>2048</v>
      </c>
      <c r="B33" s="147">
        <v>28</v>
      </c>
      <c r="C33" s="150">
        <v>0</v>
      </c>
      <c r="D33" s="150">
        <v>0</v>
      </c>
      <c r="E33" s="148">
        <f t="shared" si="0"/>
        <v>0</v>
      </c>
    </row>
    <row r="34" spans="1:5" ht="12.75">
      <c r="A34" s="146">
        <v>2049</v>
      </c>
      <c r="B34" s="147">
        <v>29</v>
      </c>
      <c r="C34" s="150">
        <v>0</v>
      </c>
      <c r="D34" s="150">
        <v>0</v>
      </c>
      <c r="E34" s="148">
        <f t="shared" si="0"/>
        <v>0</v>
      </c>
    </row>
    <row r="35" spans="1:5" ht="13.5" thickBot="1">
      <c r="A35" s="151">
        <v>2050</v>
      </c>
      <c r="B35" s="152">
        <v>30</v>
      </c>
      <c r="C35" s="153">
        <v>0</v>
      </c>
      <c r="D35" s="153">
        <v>0</v>
      </c>
      <c r="E35" s="154">
        <f>SUM(C35:D35)</f>
        <v>0</v>
      </c>
    </row>
    <row r="36" spans="1:5" ht="13.5" thickBot="1">
      <c r="A36" s="603" t="s">
        <v>464</v>
      </c>
      <c r="B36" s="604"/>
      <c r="C36" s="604"/>
      <c r="D36" s="604"/>
      <c r="E36" s="605"/>
    </row>
    <row r="37" ht="13.5" thickBot="1"/>
    <row r="38" spans="1:5" ht="12.75">
      <c r="A38" s="601" t="s">
        <v>1</v>
      </c>
      <c r="B38" s="599" t="s">
        <v>64</v>
      </c>
      <c r="C38" s="597" t="s">
        <v>239</v>
      </c>
      <c r="D38" s="597" t="s">
        <v>240</v>
      </c>
      <c r="E38" s="595" t="s">
        <v>241</v>
      </c>
    </row>
    <row r="39" spans="1:5" ht="12.75">
      <c r="A39" s="602"/>
      <c r="B39" s="600"/>
      <c r="C39" s="598"/>
      <c r="D39" s="598"/>
      <c r="E39" s="596"/>
    </row>
    <row r="40" spans="1:5" ht="12.75">
      <c r="A40" s="146">
        <v>2018</v>
      </c>
      <c r="B40" s="147">
        <v>-2</v>
      </c>
      <c r="C40" s="150">
        <f aca="true" t="shared" si="1" ref="C40:E59">ROUND(C3,-3)</f>
        <v>0</v>
      </c>
      <c r="D40" s="150">
        <f t="shared" si="1"/>
        <v>0</v>
      </c>
      <c r="E40" s="148">
        <f t="shared" si="1"/>
        <v>0</v>
      </c>
    </row>
    <row r="41" spans="1:5" ht="12.75">
      <c r="A41" s="146">
        <v>2019</v>
      </c>
      <c r="B41" s="147">
        <v>-1</v>
      </c>
      <c r="C41" s="150">
        <f t="shared" si="1"/>
        <v>0</v>
      </c>
      <c r="D41" s="150">
        <f t="shared" si="1"/>
        <v>0</v>
      </c>
      <c r="E41" s="148">
        <f t="shared" si="1"/>
        <v>0</v>
      </c>
    </row>
    <row r="42" spans="1:5" ht="12.75">
      <c r="A42" s="146">
        <v>2020</v>
      </c>
      <c r="B42" s="147">
        <v>0</v>
      </c>
      <c r="C42" s="150">
        <f t="shared" si="1"/>
        <v>0</v>
      </c>
      <c r="D42" s="150">
        <f t="shared" si="1"/>
        <v>0</v>
      </c>
      <c r="E42" s="148">
        <f t="shared" si="1"/>
        <v>0</v>
      </c>
    </row>
    <row r="43" spans="1:5" ht="12.75">
      <c r="A43" s="146">
        <v>2021</v>
      </c>
      <c r="B43" s="147">
        <v>1</v>
      </c>
      <c r="C43" s="150">
        <f t="shared" si="1"/>
        <v>10000</v>
      </c>
      <c r="D43" s="150">
        <f t="shared" si="1"/>
        <v>15000</v>
      </c>
      <c r="E43" s="148">
        <f t="shared" si="1"/>
        <v>25000</v>
      </c>
    </row>
    <row r="44" spans="1:5" ht="12.75">
      <c r="A44" s="146">
        <v>2022</v>
      </c>
      <c r="B44" s="147">
        <v>2</v>
      </c>
      <c r="C44" s="150">
        <f t="shared" si="1"/>
        <v>19000</v>
      </c>
      <c r="D44" s="150">
        <f t="shared" si="1"/>
        <v>25000</v>
      </c>
      <c r="E44" s="148">
        <f t="shared" si="1"/>
        <v>44000</v>
      </c>
    </row>
    <row r="45" spans="1:5" ht="12.75">
      <c r="A45" s="146">
        <v>2023</v>
      </c>
      <c r="B45" s="147">
        <v>3</v>
      </c>
      <c r="C45" s="150">
        <f t="shared" si="1"/>
        <v>28000</v>
      </c>
      <c r="D45" s="150">
        <f t="shared" si="1"/>
        <v>35000</v>
      </c>
      <c r="E45" s="148">
        <f t="shared" si="1"/>
        <v>63000</v>
      </c>
    </row>
    <row r="46" spans="1:5" ht="12.75">
      <c r="A46" s="146">
        <v>2024</v>
      </c>
      <c r="B46" s="147">
        <v>4</v>
      </c>
      <c r="C46" s="150">
        <f t="shared" si="1"/>
        <v>36000</v>
      </c>
      <c r="D46" s="150">
        <f t="shared" si="1"/>
        <v>45000</v>
      </c>
      <c r="E46" s="148">
        <f t="shared" si="1"/>
        <v>81000</v>
      </c>
    </row>
    <row r="47" spans="1:5" ht="12.75">
      <c r="A47" s="146">
        <v>2025</v>
      </c>
      <c r="B47" s="147">
        <v>5</v>
      </c>
      <c r="C47" s="150">
        <f t="shared" si="1"/>
        <v>45000</v>
      </c>
      <c r="D47" s="150">
        <f t="shared" si="1"/>
        <v>55000</v>
      </c>
      <c r="E47" s="148">
        <f t="shared" si="1"/>
        <v>100000</v>
      </c>
    </row>
    <row r="48" spans="1:5" ht="12.75">
      <c r="A48" s="146">
        <v>2026</v>
      </c>
      <c r="B48" s="147">
        <v>6</v>
      </c>
      <c r="C48" s="150">
        <f t="shared" si="1"/>
        <v>45000</v>
      </c>
      <c r="D48" s="150">
        <f t="shared" si="1"/>
        <v>55000</v>
      </c>
      <c r="E48" s="148">
        <f t="shared" si="1"/>
        <v>100000</v>
      </c>
    </row>
    <row r="49" spans="1:5" ht="12.75">
      <c r="A49" s="146">
        <v>2027</v>
      </c>
      <c r="B49" s="147">
        <v>7</v>
      </c>
      <c r="C49" s="150">
        <f t="shared" si="1"/>
        <v>0</v>
      </c>
      <c r="D49" s="150">
        <f t="shared" si="1"/>
        <v>0</v>
      </c>
      <c r="E49" s="148">
        <f t="shared" si="1"/>
        <v>0</v>
      </c>
    </row>
    <row r="50" spans="1:5" ht="12.75">
      <c r="A50" s="146">
        <v>2028</v>
      </c>
      <c r="B50" s="147">
        <v>8</v>
      </c>
      <c r="C50" s="150">
        <f t="shared" si="1"/>
        <v>0</v>
      </c>
      <c r="D50" s="150">
        <f t="shared" si="1"/>
        <v>0</v>
      </c>
      <c r="E50" s="148">
        <f t="shared" si="1"/>
        <v>0</v>
      </c>
    </row>
    <row r="51" spans="1:5" ht="12.75">
      <c r="A51" s="146">
        <v>2029</v>
      </c>
      <c r="B51" s="147">
        <v>9</v>
      </c>
      <c r="C51" s="150">
        <f t="shared" si="1"/>
        <v>0</v>
      </c>
      <c r="D51" s="150">
        <f t="shared" si="1"/>
        <v>0</v>
      </c>
      <c r="E51" s="148">
        <f t="shared" si="1"/>
        <v>0</v>
      </c>
    </row>
    <row r="52" spans="1:5" ht="12.75">
      <c r="A52" s="146">
        <v>2030</v>
      </c>
      <c r="B52" s="147">
        <v>10</v>
      </c>
      <c r="C52" s="150">
        <f t="shared" si="1"/>
        <v>0</v>
      </c>
      <c r="D52" s="150">
        <f t="shared" si="1"/>
        <v>0</v>
      </c>
      <c r="E52" s="148">
        <f t="shared" si="1"/>
        <v>0</v>
      </c>
    </row>
    <row r="53" spans="1:5" ht="12.75">
      <c r="A53" s="146">
        <v>2031</v>
      </c>
      <c r="B53" s="147">
        <v>11</v>
      </c>
      <c r="C53" s="150">
        <f t="shared" si="1"/>
        <v>0</v>
      </c>
      <c r="D53" s="150">
        <f t="shared" si="1"/>
        <v>0</v>
      </c>
      <c r="E53" s="148">
        <f t="shared" si="1"/>
        <v>0</v>
      </c>
    </row>
    <row r="54" spans="1:5" ht="12.75">
      <c r="A54" s="146">
        <v>2032</v>
      </c>
      <c r="B54" s="147">
        <v>12</v>
      </c>
      <c r="C54" s="150">
        <f t="shared" si="1"/>
        <v>0</v>
      </c>
      <c r="D54" s="150">
        <f t="shared" si="1"/>
        <v>0</v>
      </c>
      <c r="E54" s="148">
        <f t="shared" si="1"/>
        <v>0</v>
      </c>
    </row>
    <row r="55" spans="1:5" ht="12.75">
      <c r="A55" s="146">
        <v>2033</v>
      </c>
      <c r="B55" s="147">
        <v>13</v>
      </c>
      <c r="C55" s="150">
        <f t="shared" si="1"/>
        <v>0</v>
      </c>
      <c r="D55" s="150">
        <f t="shared" si="1"/>
        <v>0</v>
      </c>
      <c r="E55" s="148">
        <f t="shared" si="1"/>
        <v>0</v>
      </c>
    </row>
    <row r="56" spans="1:5" ht="12.75">
      <c r="A56" s="146">
        <v>2034</v>
      </c>
      <c r="B56" s="147">
        <v>14</v>
      </c>
      <c r="C56" s="150">
        <f t="shared" si="1"/>
        <v>0</v>
      </c>
      <c r="D56" s="150">
        <f t="shared" si="1"/>
        <v>0</v>
      </c>
      <c r="E56" s="148">
        <f t="shared" si="1"/>
        <v>0</v>
      </c>
    </row>
    <row r="57" spans="1:5" ht="12.75">
      <c r="A57" s="146">
        <v>2035</v>
      </c>
      <c r="B57" s="147">
        <v>15</v>
      </c>
      <c r="C57" s="150">
        <f t="shared" si="1"/>
        <v>0</v>
      </c>
      <c r="D57" s="150">
        <f t="shared" si="1"/>
        <v>0</v>
      </c>
      <c r="E57" s="148">
        <f t="shared" si="1"/>
        <v>0</v>
      </c>
    </row>
    <row r="58" spans="1:5" ht="12.75">
      <c r="A58" s="146">
        <v>2036</v>
      </c>
      <c r="B58" s="147">
        <v>16</v>
      </c>
      <c r="C58" s="150">
        <f t="shared" si="1"/>
        <v>0</v>
      </c>
      <c r="D58" s="150">
        <f t="shared" si="1"/>
        <v>0</v>
      </c>
      <c r="E58" s="148">
        <f t="shared" si="1"/>
        <v>0</v>
      </c>
    </row>
    <row r="59" spans="1:5" ht="12.75">
      <c r="A59" s="146">
        <v>2037</v>
      </c>
      <c r="B59" s="147">
        <v>17</v>
      </c>
      <c r="C59" s="150">
        <f t="shared" si="1"/>
        <v>0</v>
      </c>
      <c r="D59" s="150">
        <f t="shared" si="1"/>
        <v>0</v>
      </c>
      <c r="E59" s="148">
        <f t="shared" si="1"/>
        <v>0</v>
      </c>
    </row>
    <row r="60" spans="1:5" ht="12.75">
      <c r="A60" s="146">
        <v>2038</v>
      </c>
      <c r="B60" s="147">
        <v>18</v>
      </c>
      <c r="C60" s="150">
        <f aca="true" t="shared" si="2" ref="C60:E72">ROUND(C23,-3)</f>
        <v>0</v>
      </c>
      <c r="D60" s="150">
        <f t="shared" si="2"/>
        <v>0</v>
      </c>
      <c r="E60" s="148">
        <f t="shared" si="2"/>
        <v>0</v>
      </c>
    </row>
    <row r="61" spans="1:5" ht="12.75">
      <c r="A61" s="146">
        <v>2039</v>
      </c>
      <c r="B61" s="147">
        <v>19</v>
      </c>
      <c r="C61" s="150">
        <f t="shared" si="2"/>
        <v>0</v>
      </c>
      <c r="D61" s="150">
        <f t="shared" si="2"/>
        <v>0</v>
      </c>
      <c r="E61" s="148">
        <f t="shared" si="2"/>
        <v>0</v>
      </c>
    </row>
    <row r="62" spans="1:5" ht="12.75">
      <c r="A62" s="146">
        <v>2040</v>
      </c>
      <c r="B62" s="147">
        <v>20</v>
      </c>
      <c r="C62" s="150">
        <f t="shared" si="2"/>
        <v>0</v>
      </c>
      <c r="D62" s="150">
        <f t="shared" si="2"/>
        <v>0</v>
      </c>
      <c r="E62" s="148">
        <f t="shared" si="2"/>
        <v>0</v>
      </c>
    </row>
    <row r="63" spans="1:5" ht="12.75">
      <c r="A63" s="146">
        <v>2041</v>
      </c>
      <c r="B63" s="147">
        <v>21</v>
      </c>
      <c r="C63" s="150">
        <f t="shared" si="2"/>
        <v>0</v>
      </c>
      <c r="D63" s="150">
        <f t="shared" si="2"/>
        <v>0</v>
      </c>
      <c r="E63" s="148">
        <f t="shared" si="2"/>
        <v>0</v>
      </c>
    </row>
    <row r="64" spans="1:5" ht="12.75">
      <c r="A64" s="146">
        <v>2042</v>
      </c>
      <c r="B64" s="147">
        <v>22</v>
      </c>
      <c r="C64" s="150">
        <f t="shared" si="2"/>
        <v>0</v>
      </c>
      <c r="D64" s="150">
        <f t="shared" si="2"/>
        <v>0</v>
      </c>
      <c r="E64" s="148">
        <f t="shared" si="2"/>
        <v>0</v>
      </c>
    </row>
    <row r="65" spans="1:5" ht="12.75">
      <c r="A65" s="146">
        <v>2043</v>
      </c>
      <c r="B65" s="147">
        <v>23</v>
      </c>
      <c r="C65" s="150">
        <f t="shared" si="2"/>
        <v>0</v>
      </c>
      <c r="D65" s="150">
        <f t="shared" si="2"/>
        <v>0</v>
      </c>
      <c r="E65" s="148">
        <f t="shared" si="2"/>
        <v>0</v>
      </c>
    </row>
    <row r="66" spans="1:5" ht="12.75">
      <c r="A66" s="146">
        <v>2044</v>
      </c>
      <c r="B66" s="147">
        <v>24</v>
      </c>
      <c r="C66" s="150">
        <f t="shared" si="2"/>
        <v>0</v>
      </c>
      <c r="D66" s="150">
        <f t="shared" si="2"/>
        <v>0</v>
      </c>
      <c r="E66" s="148">
        <f t="shared" si="2"/>
        <v>0</v>
      </c>
    </row>
    <row r="67" spans="1:5" ht="12.75">
      <c r="A67" s="146">
        <v>2045</v>
      </c>
      <c r="B67" s="147">
        <v>25</v>
      </c>
      <c r="C67" s="150">
        <f t="shared" si="2"/>
        <v>0</v>
      </c>
      <c r="D67" s="150">
        <f t="shared" si="2"/>
        <v>0</v>
      </c>
      <c r="E67" s="148">
        <f t="shared" si="2"/>
        <v>0</v>
      </c>
    </row>
    <row r="68" spans="1:5" ht="12.75">
      <c r="A68" s="146">
        <v>2046</v>
      </c>
      <c r="B68" s="147">
        <v>26</v>
      </c>
      <c r="C68" s="150">
        <f t="shared" si="2"/>
        <v>0</v>
      </c>
      <c r="D68" s="150">
        <f t="shared" si="2"/>
        <v>0</v>
      </c>
      <c r="E68" s="148">
        <f t="shared" si="2"/>
        <v>0</v>
      </c>
    </row>
    <row r="69" spans="1:5" ht="12.75">
      <c r="A69" s="146">
        <v>2047</v>
      </c>
      <c r="B69" s="147">
        <v>27</v>
      </c>
      <c r="C69" s="150">
        <f t="shared" si="2"/>
        <v>0</v>
      </c>
      <c r="D69" s="150">
        <f t="shared" si="2"/>
        <v>0</v>
      </c>
      <c r="E69" s="148">
        <f t="shared" si="2"/>
        <v>0</v>
      </c>
    </row>
    <row r="70" spans="1:5" ht="12.75">
      <c r="A70" s="146">
        <v>2048</v>
      </c>
      <c r="B70" s="147">
        <v>28</v>
      </c>
      <c r="C70" s="150">
        <f t="shared" si="2"/>
        <v>0</v>
      </c>
      <c r="D70" s="150">
        <f t="shared" si="2"/>
        <v>0</v>
      </c>
      <c r="E70" s="148">
        <f t="shared" si="2"/>
        <v>0</v>
      </c>
    </row>
    <row r="71" spans="1:5" ht="12.75">
      <c r="A71" s="146">
        <v>2049</v>
      </c>
      <c r="B71" s="147">
        <v>29</v>
      </c>
      <c r="C71" s="150">
        <f t="shared" si="2"/>
        <v>0</v>
      </c>
      <c r="D71" s="150">
        <f t="shared" si="2"/>
        <v>0</v>
      </c>
      <c r="E71" s="148">
        <f t="shared" si="2"/>
        <v>0</v>
      </c>
    </row>
    <row r="72" spans="1:5" ht="13.5" thickBot="1">
      <c r="A72" s="151">
        <v>2050</v>
      </c>
      <c r="B72" s="152">
        <v>30</v>
      </c>
      <c r="C72" s="153">
        <f t="shared" si="2"/>
        <v>0</v>
      </c>
      <c r="D72" s="153">
        <f t="shared" si="2"/>
        <v>0</v>
      </c>
      <c r="E72" s="154">
        <f t="shared" si="2"/>
        <v>0</v>
      </c>
    </row>
    <row r="73" spans="1:5" ht="13.5" thickBot="1">
      <c r="A73" s="603" t="s">
        <v>464</v>
      </c>
      <c r="B73" s="604"/>
      <c r="C73" s="604"/>
      <c r="D73" s="604"/>
      <c r="E73" s="605"/>
    </row>
  </sheetData>
  <sheetProtection/>
  <mergeCells count="12">
    <mergeCell ref="A38:A39"/>
    <mergeCell ref="B38:B39"/>
    <mergeCell ref="C38:C39"/>
    <mergeCell ref="D38:D39"/>
    <mergeCell ref="E38:E39"/>
    <mergeCell ref="A73:E73"/>
    <mergeCell ref="E1:E2"/>
    <mergeCell ref="D1:D2"/>
    <mergeCell ref="C1:C2"/>
    <mergeCell ref="B1:B2"/>
    <mergeCell ref="A1:A2"/>
    <mergeCell ref="A36:E36"/>
  </mergeCells>
  <printOptions/>
  <pageMargins left="0.7" right="0.7" top="0.75" bottom="0.75" header="0.3" footer="0.3"/>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AA73"/>
  <sheetViews>
    <sheetView zoomScalePageLayoutView="0" workbookViewId="0" topLeftCell="A1">
      <selection activeCell="Y3" sqref="Y3"/>
    </sheetView>
  </sheetViews>
  <sheetFormatPr defaultColWidth="9.140625" defaultRowHeight="12.75"/>
  <cols>
    <col min="1" max="2" width="8.7109375" style="199" customWidth="1"/>
    <col min="3" max="3" width="9.8515625" style="99" hidden="1" customWidth="1"/>
    <col min="4" max="5" width="9.28125" style="200" hidden="1" customWidth="1"/>
    <col min="6" max="6" width="9.8515625" style="200" hidden="1" customWidth="1"/>
    <col min="7" max="14" width="9.28125" style="173" hidden="1" customWidth="1"/>
    <col min="15" max="15" width="10.28125" style="173" hidden="1" customWidth="1"/>
    <col min="16" max="23" width="9.28125" style="173" hidden="1" customWidth="1"/>
    <col min="24" max="24" width="11.421875" style="173" hidden="1" customWidth="1"/>
    <col min="25" max="25" width="11.57421875" style="173" customWidth="1"/>
    <col min="26" max="26" width="9.140625" style="99" customWidth="1"/>
    <col min="27" max="27" width="9.140625" style="200" customWidth="1"/>
    <col min="28" max="16384" width="9.140625" style="99" customWidth="1"/>
  </cols>
  <sheetData>
    <row r="1" spans="1:27" ht="13.5" customHeight="1" thickBot="1">
      <c r="A1" s="620" t="s">
        <v>64</v>
      </c>
      <c r="B1" s="618" t="s">
        <v>1</v>
      </c>
      <c r="C1" s="614" t="s">
        <v>351</v>
      </c>
      <c r="D1" s="614"/>
      <c r="E1" s="614"/>
      <c r="F1" s="614"/>
      <c r="G1" s="614"/>
      <c r="H1" s="615"/>
      <c r="I1" s="608" t="s">
        <v>252</v>
      </c>
      <c r="J1" s="609"/>
      <c r="K1" s="609"/>
      <c r="L1" s="609"/>
      <c r="M1" s="609"/>
      <c r="N1" s="610"/>
      <c r="O1" s="608" t="s">
        <v>253</v>
      </c>
      <c r="P1" s="609"/>
      <c r="Q1" s="609"/>
      <c r="R1" s="610"/>
      <c r="S1" s="611" t="s">
        <v>352</v>
      </c>
      <c r="T1" s="612"/>
      <c r="U1" s="612"/>
      <c r="V1" s="612"/>
      <c r="W1" s="612"/>
      <c r="X1" s="613"/>
      <c r="Y1" s="179" t="s">
        <v>7</v>
      </c>
      <c r="AA1" s="606" t="s">
        <v>482</v>
      </c>
    </row>
    <row r="2" spans="1:27" s="187" customFormat="1" ht="72">
      <c r="A2" s="621"/>
      <c r="B2" s="619"/>
      <c r="C2" s="468" t="s">
        <v>266</v>
      </c>
      <c r="D2" s="181" t="s">
        <v>76</v>
      </c>
      <c r="E2" s="181" t="s">
        <v>77</v>
      </c>
      <c r="F2" s="181" t="s">
        <v>78</v>
      </c>
      <c r="G2" s="182" t="s">
        <v>79</v>
      </c>
      <c r="H2" s="183" t="s">
        <v>246</v>
      </c>
      <c r="I2" s="184" t="s">
        <v>242</v>
      </c>
      <c r="J2" s="160" t="s">
        <v>76</v>
      </c>
      <c r="K2" s="160" t="s">
        <v>243</v>
      </c>
      <c r="L2" s="160" t="s">
        <v>78</v>
      </c>
      <c r="M2" s="160" t="s">
        <v>79</v>
      </c>
      <c r="N2" s="183" t="s">
        <v>247</v>
      </c>
      <c r="O2" s="185" t="s">
        <v>248</v>
      </c>
      <c r="P2" s="182" t="s">
        <v>250</v>
      </c>
      <c r="Q2" s="182" t="s">
        <v>79</v>
      </c>
      <c r="R2" s="160" t="s">
        <v>251</v>
      </c>
      <c r="S2" s="185" t="s">
        <v>264</v>
      </c>
      <c r="T2" s="182" t="s">
        <v>265</v>
      </c>
      <c r="U2" s="182" t="s">
        <v>76</v>
      </c>
      <c r="V2" s="182" t="s">
        <v>267</v>
      </c>
      <c r="W2" s="160" t="s">
        <v>78</v>
      </c>
      <c r="X2" s="183" t="s">
        <v>268</v>
      </c>
      <c r="Y2" s="186" t="s">
        <v>80</v>
      </c>
      <c r="AA2" s="607"/>
    </row>
    <row r="3" spans="1:27" ht="12">
      <c r="A3" s="188">
        <v>2018</v>
      </c>
      <c r="B3" s="428">
        <v>-2</v>
      </c>
      <c r="C3" s="493">
        <f>'Globalplex Cargo Tons'!M14</f>
        <v>1454056.8824204358</v>
      </c>
      <c r="D3" s="189">
        <f>C3/Inputs!$B$21</f>
        <v>85532.7577894374</v>
      </c>
      <c r="E3" s="189">
        <f>D3</f>
        <v>85532.7577894374</v>
      </c>
      <c r="F3" s="189">
        <f>D3*Inputs!$B$26</f>
        <v>256598.2733683122</v>
      </c>
      <c r="G3" s="171">
        <f>F3</f>
        <v>256598.2733683122</v>
      </c>
      <c r="H3" s="172">
        <f>F3-G3</f>
        <v>0</v>
      </c>
      <c r="I3" s="190">
        <f>'Globalplex TEU'!E3</f>
        <v>0</v>
      </c>
      <c r="J3" s="191">
        <f>I3/Inputs!$B$23</f>
        <v>0</v>
      </c>
      <c r="K3" s="191">
        <f>J3</f>
        <v>0</v>
      </c>
      <c r="L3" s="191">
        <f>J3*Inputs!$B$26</f>
        <v>0</v>
      </c>
      <c r="M3" s="191">
        <f>L3</f>
        <v>0</v>
      </c>
      <c r="N3" s="172">
        <f>L3-M3</f>
        <v>0</v>
      </c>
      <c r="O3" s="192">
        <f>Inputs!$B$14</f>
        <v>2</v>
      </c>
      <c r="P3" s="171">
        <f>O3*Inputs!$B$15</f>
        <v>53</v>
      </c>
      <c r="Q3" s="171">
        <f>P3</f>
        <v>53</v>
      </c>
      <c r="R3" s="191">
        <f>P3-Q3</f>
        <v>0</v>
      </c>
      <c r="S3" s="192">
        <v>0</v>
      </c>
      <c r="T3" s="171">
        <f>S3</f>
        <v>0</v>
      </c>
      <c r="U3" s="171">
        <f>S3/Inputs!$B$21</f>
        <v>0</v>
      </c>
      <c r="V3" s="171">
        <f>T3/Inputs!$B$21</f>
        <v>0</v>
      </c>
      <c r="W3" s="191">
        <f>U3*Inputs!$B$17</f>
        <v>0</v>
      </c>
      <c r="X3" s="172">
        <f>V3*Inputs!$B$17</f>
        <v>0</v>
      </c>
      <c r="Y3" s="491">
        <f>(F3-G3)+(L3-M3)+(P3-Q3)+(X3-W3)</f>
        <v>0</v>
      </c>
      <c r="AA3" s="497">
        <f>(T3/Inputs!$B$20)*Inputs!$B$18</f>
        <v>0</v>
      </c>
    </row>
    <row r="4" spans="1:27" ht="12">
      <c r="A4" s="188">
        <v>2019</v>
      </c>
      <c r="B4" s="428">
        <v>-1</v>
      </c>
      <c r="C4" s="493">
        <f>'Globalplex Cargo Tons'!M15</f>
        <v>1581028.3666856978</v>
      </c>
      <c r="D4" s="189">
        <f>C4/Inputs!$B$21</f>
        <v>93001.66862857046</v>
      </c>
      <c r="E4" s="189">
        <f>D4</f>
        <v>93001.66862857046</v>
      </c>
      <c r="F4" s="189">
        <f>D4*Inputs!$B$26</f>
        <v>279005.0058857114</v>
      </c>
      <c r="G4" s="171">
        <f>F4</f>
        <v>279005.0058857114</v>
      </c>
      <c r="H4" s="172">
        <f aca="true" t="shared" si="0" ref="H4:H34">F4-G4</f>
        <v>0</v>
      </c>
      <c r="I4" s="190">
        <f>'Globalplex TEU'!E4</f>
        <v>0</v>
      </c>
      <c r="J4" s="191">
        <f>I4/Inputs!$B$23</f>
        <v>0</v>
      </c>
      <c r="K4" s="191">
        <f>J4</f>
        <v>0</v>
      </c>
      <c r="L4" s="191">
        <f>J4*Inputs!$B$26</f>
        <v>0</v>
      </c>
      <c r="M4" s="191">
        <f>L4</f>
        <v>0</v>
      </c>
      <c r="N4" s="172">
        <f aca="true" t="shared" si="1" ref="N4:N34">L4-M4</f>
        <v>0</v>
      </c>
      <c r="O4" s="192">
        <f>Inputs!$B$14</f>
        <v>2</v>
      </c>
      <c r="P4" s="171">
        <f>O4*Inputs!$B$15</f>
        <v>53</v>
      </c>
      <c r="Q4" s="171">
        <f>P4</f>
        <v>53</v>
      </c>
      <c r="R4" s="191">
        <f aca="true" t="shared" si="2" ref="R4:R34">P4-Q4</f>
        <v>0</v>
      </c>
      <c r="S4" s="192">
        <v>0</v>
      </c>
      <c r="T4" s="171">
        <f>S4</f>
        <v>0</v>
      </c>
      <c r="U4" s="171">
        <f>S4/Inputs!$B$21</f>
        <v>0</v>
      </c>
      <c r="V4" s="171">
        <f>T4/Inputs!$B$21</f>
        <v>0</v>
      </c>
      <c r="W4" s="191">
        <f>U4*Inputs!$B$17</f>
        <v>0</v>
      </c>
      <c r="X4" s="172">
        <f>V4*Inputs!$B$17</f>
        <v>0</v>
      </c>
      <c r="Y4" s="491">
        <f aca="true" t="shared" si="3" ref="Y4:Y34">(F4-G4)+(L4-M4)+(P4-Q4)+(X4-W4)</f>
        <v>0</v>
      </c>
      <c r="AA4" s="497">
        <f>(T4/Inputs!$B$20)*Inputs!$B$18</f>
        <v>0</v>
      </c>
    </row>
    <row r="5" spans="1:27" ht="12">
      <c r="A5" s="188">
        <v>2020</v>
      </c>
      <c r="B5" s="428">
        <v>0</v>
      </c>
      <c r="C5" s="493">
        <f>'Globalplex Cargo Tons'!M16</f>
        <v>1719087.2836445745</v>
      </c>
      <c r="D5" s="189">
        <f>C5/Inputs!$B$21</f>
        <v>101122.78139085732</v>
      </c>
      <c r="E5" s="189">
        <f>D5</f>
        <v>101122.78139085732</v>
      </c>
      <c r="F5" s="189">
        <f>D5*Inputs!$B$26</f>
        <v>303368.34417257196</v>
      </c>
      <c r="G5" s="171">
        <f>F5</f>
        <v>303368.34417257196</v>
      </c>
      <c r="H5" s="172">
        <f t="shared" si="0"/>
        <v>0</v>
      </c>
      <c r="I5" s="190">
        <f>'Globalplex TEU'!E5</f>
        <v>0</v>
      </c>
      <c r="J5" s="191">
        <f>I5/Inputs!$B$23</f>
        <v>0</v>
      </c>
      <c r="K5" s="191">
        <f>I5/Inputs!$B$24</f>
        <v>0</v>
      </c>
      <c r="L5" s="191">
        <f>K5</f>
        <v>0</v>
      </c>
      <c r="M5" s="191">
        <f>K5*Inputs!$B$27</f>
        <v>0</v>
      </c>
      <c r="N5" s="172">
        <f t="shared" si="1"/>
        <v>0</v>
      </c>
      <c r="O5" s="192">
        <f>Inputs!$B$14</f>
        <v>2</v>
      </c>
      <c r="P5" s="171">
        <f>O5*Inputs!$B$15</f>
        <v>53</v>
      </c>
      <c r="Q5" s="171">
        <f>P5</f>
        <v>53</v>
      </c>
      <c r="R5" s="191">
        <f t="shared" si="2"/>
        <v>0</v>
      </c>
      <c r="S5" s="192">
        <v>0</v>
      </c>
      <c r="T5" s="171">
        <f>S5</f>
        <v>0</v>
      </c>
      <c r="U5" s="171">
        <f>S5/Inputs!$B$21</f>
        <v>0</v>
      </c>
      <c r="V5" s="171">
        <f>T5/Inputs!$B$21</f>
        <v>0</v>
      </c>
      <c r="W5" s="191">
        <f>U5*Inputs!$B$17</f>
        <v>0</v>
      </c>
      <c r="X5" s="172">
        <f>V5*Inputs!$B$17</f>
        <v>0</v>
      </c>
      <c r="Y5" s="491">
        <f t="shared" si="3"/>
        <v>0</v>
      </c>
      <c r="AA5" s="497">
        <f>(T5/Inputs!$B$20)*Inputs!$B$18</f>
        <v>0</v>
      </c>
    </row>
    <row r="6" spans="1:27" ht="12">
      <c r="A6" s="188">
        <v>2021</v>
      </c>
      <c r="B6" s="428">
        <v>1</v>
      </c>
      <c r="C6" s="493">
        <f>'Globalplex Cargo Tons'!M17</f>
        <v>1869201.8126047803</v>
      </c>
      <c r="D6" s="189">
        <f>C6/Inputs!$B$21</f>
        <v>109953.0478002812</v>
      </c>
      <c r="E6" s="189">
        <f>(C6-T6)/Inputs!$B$22</f>
        <v>35514.83443949083</v>
      </c>
      <c r="F6" s="189">
        <f>D6*Inputs!$B$26</f>
        <v>329859.1434008436</v>
      </c>
      <c r="G6" s="171">
        <f>E6*Inputs!$B$27</f>
        <v>102993.0198745234</v>
      </c>
      <c r="H6" s="172">
        <f t="shared" si="0"/>
        <v>226866.1235263202</v>
      </c>
      <c r="I6" s="190">
        <f>'Globalplex TEU'!E6</f>
        <v>25000</v>
      </c>
      <c r="J6" s="191">
        <f>I6/Inputs!$B$23</f>
        <v>25000</v>
      </c>
      <c r="K6" s="191">
        <f>I6/Inputs!$B$24</f>
        <v>12500</v>
      </c>
      <c r="L6" s="191">
        <f>J6*Inputs!$B$26</f>
        <v>75000</v>
      </c>
      <c r="M6" s="191">
        <f>K6*Inputs!$B$27</f>
        <v>36250</v>
      </c>
      <c r="N6" s="172">
        <f t="shared" si="1"/>
        <v>38750</v>
      </c>
      <c r="O6" s="192">
        <f>Inputs!$B$14</f>
        <v>2</v>
      </c>
      <c r="P6" s="171">
        <f>O6*Inputs!$B$15</f>
        <v>53</v>
      </c>
      <c r="Q6" s="171">
        <f>O6*Inputs!$B$16</f>
        <v>25</v>
      </c>
      <c r="R6" s="191">
        <f t="shared" si="2"/>
        <v>28</v>
      </c>
      <c r="S6" s="192">
        <v>0</v>
      </c>
      <c r="T6" s="171">
        <f>C6*Inputs!$B$19</f>
        <v>93460.09063023902</v>
      </c>
      <c r="U6" s="171">
        <f>S6/Inputs!$B$21</f>
        <v>0</v>
      </c>
      <c r="V6" s="171">
        <f>T6/Inputs!$B$21</f>
        <v>5497.65239001406</v>
      </c>
      <c r="W6" s="191">
        <f>U6*Inputs!$B$17</f>
        <v>0</v>
      </c>
      <c r="X6" s="172">
        <f>V6*Inputs!$B$17</f>
        <v>3507502.22482897</v>
      </c>
      <c r="Y6" s="491">
        <f t="shared" si="3"/>
        <v>3773146.3483552905</v>
      </c>
      <c r="AA6" s="497">
        <f>(T6/Inputs!$B$20)*Inputs!$B$18</f>
        <v>7009.506797267927</v>
      </c>
    </row>
    <row r="7" spans="1:27" ht="12">
      <c r="A7" s="188">
        <v>2022</v>
      </c>
      <c r="B7" s="428">
        <v>2</v>
      </c>
      <c r="C7" s="493">
        <f>'Globalplex Cargo Tons'!M18</f>
        <v>1869201.8126047803</v>
      </c>
      <c r="D7" s="189">
        <f>C7/Inputs!$B$21</f>
        <v>109953.0478002812</v>
      </c>
      <c r="E7" s="189">
        <f>(C7-T7)/Inputs!$B$22</f>
        <v>35514.83443949083</v>
      </c>
      <c r="F7" s="189">
        <f>D7*Inputs!$B$26</f>
        <v>329859.1434008436</v>
      </c>
      <c r="G7" s="171">
        <f>E7*Inputs!$B$27</f>
        <v>102993.0198745234</v>
      </c>
      <c r="H7" s="172">
        <f t="shared" si="0"/>
        <v>226866.1235263202</v>
      </c>
      <c r="I7" s="190">
        <f>'Globalplex TEU'!E7</f>
        <v>43750</v>
      </c>
      <c r="J7" s="191">
        <f>I7/Inputs!$B$23</f>
        <v>43750</v>
      </c>
      <c r="K7" s="191">
        <f>I7/Inputs!$B$24</f>
        <v>21875</v>
      </c>
      <c r="L7" s="191">
        <f>J7*Inputs!$B$26</f>
        <v>131250</v>
      </c>
      <c r="M7" s="191">
        <f>K7*Inputs!$B$27</f>
        <v>63437.5</v>
      </c>
      <c r="N7" s="172">
        <f t="shared" si="1"/>
        <v>67812.5</v>
      </c>
      <c r="O7" s="192">
        <f>Inputs!$B$14</f>
        <v>2</v>
      </c>
      <c r="P7" s="171">
        <f>O7*Inputs!$B$15</f>
        <v>53</v>
      </c>
      <c r="Q7" s="171">
        <f>O7*Inputs!$B$16</f>
        <v>25</v>
      </c>
      <c r="R7" s="191">
        <f t="shared" si="2"/>
        <v>28</v>
      </c>
      <c r="S7" s="192">
        <v>0</v>
      </c>
      <c r="T7" s="171">
        <f>C7*Inputs!$B$19</f>
        <v>93460.09063023902</v>
      </c>
      <c r="U7" s="171">
        <f>S7/Inputs!$B$21</f>
        <v>0</v>
      </c>
      <c r="V7" s="171">
        <f>T7/Inputs!$B$21</f>
        <v>5497.65239001406</v>
      </c>
      <c r="W7" s="191">
        <f>U7*Inputs!$B$17</f>
        <v>0</v>
      </c>
      <c r="X7" s="172">
        <f>V7*Inputs!$B$17</f>
        <v>3507502.22482897</v>
      </c>
      <c r="Y7" s="491">
        <f t="shared" si="3"/>
        <v>3802208.8483552905</v>
      </c>
      <c r="AA7" s="497">
        <f>(T7/Inputs!$B$20)*Inputs!$B$18</f>
        <v>7009.506797267927</v>
      </c>
    </row>
    <row r="8" spans="1:27" ht="12">
      <c r="A8" s="188">
        <v>2023</v>
      </c>
      <c r="B8" s="428">
        <v>3</v>
      </c>
      <c r="C8" s="493">
        <f>'Globalplex Cargo Tons'!M19</f>
        <v>1869201.8126047803</v>
      </c>
      <c r="D8" s="189">
        <f>C8/Inputs!$B$21</f>
        <v>109953.0478002812</v>
      </c>
      <c r="E8" s="189">
        <f>(C8-T8)/Inputs!$B$22</f>
        <v>35514.83443949083</v>
      </c>
      <c r="F8" s="189">
        <f>D8*Inputs!$B$26</f>
        <v>329859.1434008436</v>
      </c>
      <c r="G8" s="171">
        <f>E8*Inputs!$B$27</f>
        <v>102993.0198745234</v>
      </c>
      <c r="H8" s="172">
        <f t="shared" si="0"/>
        <v>226866.1235263202</v>
      </c>
      <c r="I8" s="190">
        <f>'Globalplex TEU'!E8</f>
        <v>62500</v>
      </c>
      <c r="J8" s="191">
        <f>I8/Inputs!$B$23</f>
        <v>62500</v>
      </c>
      <c r="K8" s="191">
        <f>I8/Inputs!$B$24</f>
        <v>31250</v>
      </c>
      <c r="L8" s="191">
        <f>J8*Inputs!$B$26</f>
        <v>187500</v>
      </c>
      <c r="M8" s="191">
        <f>K8*Inputs!$B$27</f>
        <v>90625</v>
      </c>
      <c r="N8" s="172">
        <f t="shared" si="1"/>
        <v>96875</v>
      </c>
      <c r="O8" s="192">
        <f>Inputs!$B$14</f>
        <v>2</v>
      </c>
      <c r="P8" s="171">
        <f>O8*Inputs!$B$15</f>
        <v>53</v>
      </c>
      <c r="Q8" s="171">
        <f>O8*Inputs!$B$16</f>
        <v>25</v>
      </c>
      <c r="R8" s="191">
        <f t="shared" si="2"/>
        <v>28</v>
      </c>
      <c r="S8" s="192">
        <v>0</v>
      </c>
      <c r="T8" s="171">
        <f>C8*Inputs!$B$19</f>
        <v>93460.09063023902</v>
      </c>
      <c r="U8" s="171">
        <f>S8/Inputs!$B$21</f>
        <v>0</v>
      </c>
      <c r="V8" s="171">
        <f>T8/Inputs!$B$21</f>
        <v>5497.65239001406</v>
      </c>
      <c r="W8" s="191">
        <f>U8*Inputs!$B$17</f>
        <v>0</v>
      </c>
      <c r="X8" s="172">
        <f>V8*Inputs!$B$17</f>
        <v>3507502.22482897</v>
      </c>
      <c r="Y8" s="491">
        <f t="shared" si="3"/>
        <v>3831271.3483552905</v>
      </c>
      <c r="AA8" s="497">
        <f>(T8/Inputs!$B$20)*Inputs!$B$18</f>
        <v>7009.506797267927</v>
      </c>
    </row>
    <row r="9" spans="1:27" ht="12">
      <c r="A9" s="188">
        <v>2024</v>
      </c>
      <c r="B9" s="428">
        <v>4</v>
      </c>
      <c r="C9" s="493">
        <f>'Globalplex Cargo Tons'!M20</f>
        <v>1869201.8126047803</v>
      </c>
      <c r="D9" s="189">
        <f>C9/Inputs!$B$21</f>
        <v>109953.0478002812</v>
      </c>
      <c r="E9" s="189">
        <f>(C9-T9)/Inputs!$B$22</f>
        <v>35514.83443949083</v>
      </c>
      <c r="F9" s="189">
        <f>D9*Inputs!$B$26</f>
        <v>329859.1434008436</v>
      </c>
      <c r="G9" s="171">
        <f>E9*Inputs!$B$27</f>
        <v>102993.0198745234</v>
      </c>
      <c r="H9" s="172">
        <f t="shared" si="0"/>
        <v>226866.1235263202</v>
      </c>
      <c r="I9" s="190">
        <f>'Globalplex TEU'!E9</f>
        <v>81250</v>
      </c>
      <c r="J9" s="191">
        <f>I9/Inputs!$B$23</f>
        <v>81250</v>
      </c>
      <c r="K9" s="191">
        <f>I9/Inputs!$B$24</f>
        <v>40625</v>
      </c>
      <c r="L9" s="191">
        <f>J9*Inputs!$B$26</f>
        <v>243750</v>
      </c>
      <c r="M9" s="191">
        <f>K9*Inputs!$B$27</f>
        <v>117812.5</v>
      </c>
      <c r="N9" s="172">
        <f t="shared" si="1"/>
        <v>125937.5</v>
      </c>
      <c r="O9" s="192">
        <f>Inputs!$B$14</f>
        <v>2</v>
      </c>
      <c r="P9" s="171">
        <f>O9*Inputs!$B$15</f>
        <v>53</v>
      </c>
      <c r="Q9" s="171">
        <f>O9*Inputs!$B$16</f>
        <v>25</v>
      </c>
      <c r="R9" s="191">
        <f t="shared" si="2"/>
        <v>28</v>
      </c>
      <c r="S9" s="192">
        <v>0</v>
      </c>
      <c r="T9" s="171">
        <f>C9*Inputs!$B$19</f>
        <v>93460.09063023902</v>
      </c>
      <c r="U9" s="171">
        <f>S9/Inputs!$B$21</f>
        <v>0</v>
      </c>
      <c r="V9" s="171">
        <f>T9/Inputs!$B$21</f>
        <v>5497.65239001406</v>
      </c>
      <c r="W9" s="191">
        <f>U9*Inputs!$B$17</f>
        <v>0</v>
      </c>
      <c r="X9" s="172">
        <f>V9*Inputs!$B$17</f>
        <v>3507502.22482897</v>
      </c>
      <c r="Y9" s="491">
        <f t="shared" si="3"/>
        <v>3860333.8483552905</v>
      </c>
      <c r="AA9" s="497">
        <f>(T9/Inputs!$B$20)*Inputs!$B$18</f>
        <v>7009.506797267927</v>
      </c>
    </row>
    <row r="10" spans="1:27" ht="12">
      <c r="A10" s="188">
        <v>2025</v>
      </c>
      <c r="B10" s="428">
        <v>5</v>
      </c>
      <c r="C10" s="493">
        <f>'Globalplex Cargo Tons'!M21</f>
        <v>1869201.8126047803</v>
      </c>
      <c r="D10" s="189">
        <f>C10/Inputs!$B$21</f>
        <v>109953.0478002812</v>
      </c>
      <c r="E10" s="189">
        <f>(C10-T10)/Inputs!$B$22</f>
        <v>35514.83443949083</v>
      </c>
      <c r="F10" s="189">
        <f>D10*Inputs!$B$26</f>
        <v>329859.1434008436</v>
      </c>
      <c r="G10" s="171">
        <f>E10*Inputs!$B$27</f>
        <v>102993.0198745234</v>
      </c>
      <c r="H10" s="172">
        <f t="shared" si="0"/>
        <v>226866.1235263202</v>
      </c>
      <c r="I10" s="190">
        <f>'Globalplex TEU'!E10</f>
        <v>100000</v>
      </c>
      <c r="J10" s="191">
        <f>I10/Inputs!$B$23</f>
        <v>100000</v>
      </c>
      <c r="K10" s="191">
        <f>I10/Inputs!$B$24</f>
        <v>50000</v>
      </c>
      <c r="L10" s="191">
        <f>J10*Inputs!$B$26</f>
        <v>300000</v>
      </c>
      <c r="M10" s="191">
        <f>K10*Inputs!$B$27</f>
        <v>145000</v>
      </c>
      <c r="N10" s="172">
        <f t="shared" si="1"/>
        <v>155000</v>
      </c>
      <c r="O10" s="192">
        <f>Inputs!$B$14</f>
        <v>2</v>
      </c>
      <c r="P10" s="171">
        <f>O10*Inputs!$B$15</f>
        <v>53</v>
      </c>
      <c r="Q10" s="171">
        <f>O10*Inputs!$B$16</f>
        <v>25</v>
      </c>
      <c r="R10" s="191">
        <f t="shared" si="2"/>
        <v>28</v>
      </c>
      <c r="S10" s="192">
        <v>0</v>
      </c>
      <c r="T10" s="171">
        <f>C10*Inputs!$B$19</f>
        <v>93460.09063023902</v>
      </c>
      <c r="U10" s="171">
        <f>S10/Inputs!$B$21</f>
        <v>0</v>
      </c>
      <c r="V10" s="171">
        <f>T10/Inputs!$B$21</f>
        <v>5497.65239001406</v>
      </c>
      <c r="W10" s="191">
        <f>U10*Inputs!$B$17</f>
        <v>0</v>
      </c>
      <c r="X10" s="172">
        <f>V10*Inputs!$B$17</f>
        <v>3507502.22482897</v>
      </c>
      <c r="Y10" s="491">
        <f t="shared" si="3"/>
        <v>3889396.3483552905</v>
      </c>
      <c r="AA10" s="497">
        <f>(T10/Inputs!$B$20)*Inputs!$B$18</f>
        <v>7009.506797267927</v>
      </c>
    </row>
    <row r="11" spans="1:27" ht="12">
      <c r="A11" s="188">
        <v>2026</v>
      </c>
      <c r="B11" s="428">
        <v>6</v>
      </c>
      <c r="C11" s="493">
        <f>'Globalplex Cargo Tons'!M22</f>
        <v>1869201.8126047803</v>
      </c>
      <c r="D11" s="189">
        <f>C11/Inputs!$B$21</f>
        <v>109953.0478002812</v>
      </c>
      <c r="E11" s="189">
        <f>(C11-T11)/Inputs!$B$22</f>
        <v>35514.83443949083</v>
      </c>
      <c r="F11" s="189">
        <f>D11*Inputs!$B$26</f>
        <v>329859.1434008436</v>
      </c>
      <c r="G11" s="171">
        <f>E11*Inputs!$B$27</f>
        <v>102993.0198745234</v>
      </c>
      <c r="H11" s="172">
        <f t="shared" si="0"/>
        <v>226866.1235263202</v>
      </c>
      <c r="I11" s="190">
        <f>'Globalplex TEU'!E11</f>
        <v>100000</v>
      </c>
      <c r="J11" s="191">
        <f>I11/Inputs!$B$23</f>
        <v>100000</v>
      </c>
      <c r="K11" s="191">
        <f>I11/Inputs!$B$24</f>
        <v>50000</v>
      </c>
      <c r="L11" s="191">
        <f>J11*Inputs!$B$26</f>
        <v>300000</v>
      </c>
      <c r="M11" s="191">
        <f>K11*Inputs!$B$27</f>
        <v>145000</v>
      </c>
      <c r="N11" s="172">
        <f t="shared" si="1"/>
        <v>155000</v>
      </c>
      <c r="O11" s="192">
        <f>Inputs!$B$14</f>
        <v>2</v>
      </c>
      <c r="P11" s="171">
        <f>O11*Inputs!$B$15</f>
        <v>53</v>
      </c>
      <c r="Q11" s="171">
        <f>O11*Inputs!$B$16</f>
        <v>25</v>
      </c>
      <c r="R11" s="191">
        <f t="shared" si="2"/>
        <v>28</v>
      </c>
      <c r="S11" s="192">
        <v>0</v>
      </c>
      <c r="T11" s="171">
        <f>C11*Inputs!$B$19</f>
        <v>93460.09063023902</v>
      </c>
      <c r="U11" s="171">
        <f>S11/Inputs!$B$21</f>
        <v>0</v>
      </c>
      <c r="V11" s="171">
        <f>T11/Inputs!$B$21</f>
        <v>5497.65239001406</v>
      </c>
      <c r="W11" s="191">
        <f>U11*Inputs!$B$17</f>
        <v>0</v>
      </c>
      <c r="X11" s="172">
        <f>V11*Inputs!$B$17</f>
        <v>3507502.22482897</v>
      </c>
      <c r="Y11" s="491">
        <f t="shared" si="3"/>
        <v>3889396.3483552905</v>
      </c>
      <c r="AA11" s="497">
        <f>(T11/Inputs!$B$20)*Inputs!$B$18</f>
        <v>7009.506797267927</v>
      </c>
    </row>
    <row r="12" spans="1:27" ht="12">
      <c r="A12" s="188">
        <v>2027</v>
      </c>
      <c r="B12" s="428">
        <v>7</v>
      </c>
      <c r="C12" s="493">
        <f>'Globalplex Cargo Tons'!M23</f>
        <v>1869201.8126047803</v>
      </c>
      <c r="D12" s="189">
        <f>C12/Inputs!$B$21</f>
        <v>109953.0478002812</v>
      </c>
      <c r="E12" s="189">
        <f>(C12-T12)/Inputs!$B$22</f>
        <v>35514.83443949083</v>
      </c>
      <c r="F12" s="189">
        <f>D12*Inputs!$B$26</f>
        <v>329859.1434008436</v>
      </c>
      <c r="G12" s="171">
        <f>E12*Inputs!$B$27</f>
        <v>102993.0198745234</v>
      </c>
      <c r="H12" s="172">
        <f t="shared" si="0"/>
        <v>226866.1235263202</v>
      </c>
      <c r="I12" s="190">
        <f>'Globalplex TEU'!E12</f>
        <v>0</v>
      </c>
      <c r="J12" s="191">
        <f>I12/Inputs!$B$23</f>
        <v>0</v>
      </c>
      <c r="K12" s="191">
        <f>I12/Inputs!$B$24</f>
        <v>0</v>
      </c>
      <c r="L12" s="191">
        <f>J12*Inputs!$B$26</f>
        <v>0</v>
      </c>
      <c r="M12" s="191">
        <f>K12*Inputs!$B$27</f>
        <v>0</v>
      </c>
      <c r="N12" s="172">
        <f t="shared" si="1"/>
        <v>0</v>
      </c>
      <c r="O12" s="192">
        <f>Inputs!$B$14</f>
        <v>2</v>
      </c>
      <c r="P12" s="171">
        <f>O12*Inputs!$B$15</f>
        <v>53</v>
      </c>
      <c r="Q12" s="171">
        <f>O12*Inputs!$B$16</f>
        <v>25</v>
      </c>
      <c r="R12" s="191">
        <f t="shared" si="2"/>
        <v>28</v>
      </c>
      <c r="S12" s="192">
        <v>0</v>
      </c>
      <c r="T12" s="171">
        <f>C12*Inputs!$B$19</f>
        <v>93460.09063023902</v>
      </c>
      <c r="U12" s="171">
        <f>S12/Inputs!$B$21</f>
        <v>0</v>
      </c>
      <c r="V12" s="171">
        <f>T12/Inputs!$B$21</f>
        <v>5497.65239001406</v>
      </c>
      <c r="W12" s="191">
        <f>U12*Inputs!$B$17</f>
        <v>0</v>
      </c>
      <c r="X12" s="172">
        <f>V12*Inputs!$B$17</f>
        <v>3507502.22482897</v>
      </c>
      <c r="Y12" s="491">
        <f t="shared" si="3"/>
        <v>3734396.3483552905</v>
      </c>
      <c r="AA12" s="497">
        <f>(T12/Inputs!$B$20)*Inputs!$B$18</f>
        <v>7009.506797267927</v>
      </c>
    </row>
    <row r="13" spans="1:27" ht="12">
      <c r="A13" s="188">
        <v>2028</v>
      </c>
      <c r="B13" s="428">
        <v>8</v>
      </c>
      <c r="C13" s="493">
        <f>'Globalplex Cargo Tons'!M24</f>
        <v>1869201.8126047803</v>
      </c>
      <c r="D13" s="189">
        <f>C13/Inputs!$B$21</f>
        <v>109953.0478002812</v>
      </c>
      <c r="E13" s="189">
        <f>(C13-T13)/Inputs!$B$22</f>
        <v>35514.83443949083</v>
      </c>
      <c r="F13" s="189">
        <f>D13*Inputs!$B$26</f>
        <v>329859.1434008436</v>
      </c>
      <c r="G13" s="171">
        <f>E13*Inputs!$B$27</f>
        <v>102993.0198745234</v>
      </c>
      <c r="H13" s="172">
        <f t="shared" si="0"/>
        <v>226866.1235263202</v>
      </c>
      <c r="I13" s="190">
        <f>'Globalplex TEU'!E13</f>
        <v>0</v>
      </c>
      <c r="J13" s="191">
        <f>I13/Inputs!$B$23</f>
        <v>0</v>
      </c>
      <c r="K13" s="191">
        <f>I13/Inputs!$B$24</f>
        <v>0</v>
      </c>
      <c r="L13" s="191">
        <f>J13*Inputs!$B$26</f>
        <v>0</v>
      </c>
      <c r="M13" s="191">
        <f>K13*Inputs!$B$27</f>
        <v>0</v>
      </c>
      <c r="N13" s="172">
        <f t="shared" si="1"/>
        <v>0</v>
      </c>
      <c r="O13" s="192">
        <f>Inputs!$B$14</f>
        <v>2</v>
      </c>
      <c r="P13" s="171">
        <f>O13*Inputs!$B$15</f>
        <v>53</v>
      </c>
      <c r="Q13" s="171">
        <f>O13*Inputs!$B$16</f>
        <v>25</v>
      </c>
      <c r="R13" s="191">
        <f t="shared" si="2"/>
        <v>28</v>
      </c>
      <c r="S13" s="192">
        <v>0</v>
      </c>
      <c r="T13" s="171">
        <f>C13*Inputs!$B$19</f>
        <v>93460.09063023902</v>
      </c>
      <c r="U13" s="171">
        <f>S13/Inputs!$B$21</f>
        <v>0</v>
      </c>
      <c r="V13" s="171">
        <f>T13/Inputs!$B$21</f>
        <v>5497.65239001406</v>
      </c>
      <c r="W13" s="191">
        <f>U13*Inputs!$B$17</f>
        <v>0</v>
      </c>
      <c r="X13" s="172">
        <f>V13*Inputs!$B$17</f>
        <v>3507502.22482897</v>
      </c>
      <c r="Y13" s="491">
        <f t="shared" si="3"/>
        <v>3734396.3483552905</v>
      </c>
      <c r="AA13" s="497">
        <f>(T13/Inputs!$B$20)*Inputs!$B$18</f>
        <v>7009.506797267927</v>
      </c>
    </row>
    <row r="14" spans="1:27" ht="12">
      <c r="A14" s="188">
        <v>2029</v>
      </c>
      <c r="B14" s="428">
        <v>9</v>
      </c>
      <c r="C14" s="493">
        <f>'Globalplex Cargo Tons'!M25</f>
        <v>1869201.8126047803</v>
      </c>
      <c r="D14" s="189">
        <f>C14/Inputs!$B$21</f>
        <v>109953.0478002812</v>
      </c>
      <c r="E14" s="189">
        <f>(C14-T14)/Inputs!$B$22</f>
        <v>35514.83443949083</v>
      </c>
      <c r="F14" s="189">
        <f>D14*Inputs!$B$26</f>
        <v>329859.1434008436</v>
      </c>
      <c r="G14" s="171">
        <f>E14*Inputs!$B$27</f>
        <v>102993.0198745234</v>
      </c>
      <c r="H14" s="172">
        <f t="shared" si="0"/>
        <v>226866.1235263202</v>
      </c>
      <c r="I14" s="190">
        <f>'Globalplex TEU'!E14</f>
        <v>0</v>
      </c>
      <c r="J14" s="191">
        <f>I14/Inputs!$B$23</f>
        <v>0</v>
      </c>
      <c r="K14" s="191">
        <f>I14/Inputs!$B$24</f>
        <v>0</v>
      </c>
      <c r="L14" s="191">
        <f>J14*Inputs!$B$26</f>
        <v>0</v>
      </c>
      <c r="M14" s="191">
        <f>K14*Inputs!$B$27</f>
        <v>0</v>
      </c>
      <c r="N14" s="172">
        <f t="shared" si="1"/>
        <v>0</v>
      </c>
      <c r="O14" s="192">
        <f>Inputs!$B$14</f>
        <v>2</v>
      </c>
      <c r="P14" s="171">
        <f>O14*Inputs!$B$15</f>
        <v>53</v>
      </c>
      <c r="Q14" s="171">
        <f>O14*Inputs!$B$16</f>
        <v>25</v>
      </c>
      <c r="R14" s="191">
        <f t="shared" si="2"/>
        <v>28</v>
      </c>
      <c r="S14" s="192">
        <v>0</v>
      </c>
      <c r="T14" s="171">
        <f>C14*Inputs!$B$19</f>
        <v>93460.09063023902</v>
      </c>
      <c r="U14" s="171">
        <f>S14/Inputs!$B$21</f>
        <v>0</v>
      </c>
      <c r="V14" s="171">
        <f>T14/Inputs!$B$21</f>
        <v>5497.65239001406</v>
      </c>
      <c r="W14" s="191">
        <f>U14*Inputs!$B$17</f>
        <v>0</v>
      </c>
      <c r="X14" s="172">
        <f>V14*Inputs!$B$17</f>
        <v>3507502.22482897</v>
      </c>
      <c r="Y14" s="491">
        <f t="shared" si="3"/>
        <v>3734396.3483552905</v>
      </c>
      <c r="AA14" s="497">
        <f>(T14/Inputs!$B$20)*Inputs!$B$18</f>
        <v>7009.506797267927</v>
      </c>
    </row>
    <row r="15" spans="1:27" ht="12">
      <c r="A15" s="188">
        <v>2030</v>
      </c>
      <c r="B15" s="428">
        <v>10</v>
      </c>
      <c r="C15" s="493">
        <f>'Globalplex Cargo Tons'!M26</f>
        <v>1869201.8126047803</v>
      </c>
      <c r="D15" s="189">
        <f>C15/Inputs!$B$21</f>
        <v>109953.0478002812</v>
      </c>
      <c r="E15" s="189">
        <f>(C15-T15)/Inputs!$B$22</f>
        <v>35514.83443949083</v>
      </c>
      <c r="F15" s="189">
        <f>D15*Inputs!$B$26</f>
        <v>329859.1434008436</v>
      </c>
      <c r="G15" s="171">
        <f>E15*Inputs!$B$27</f>
        <v>102993.0198745234</v>
      </c>
      <c r="H15" s="172">
        <f t="shared" si="0"/>
        <v>226866.1235263202</v>
      </c>
      <c r="I15" s="190">
        <f>'Globalplex TEU'!E15</f>
        <v>0</v>
      </c>
      <c r="J15" s="191">
        <f>I15/Inputs!$B$23</f>
        <v>0</v>
      </c>
      <c r="K15" s="191">
        <f>I15/Inputs!$B$24</f>
        <v>0</v>
      </c>
      <c r="L15" s="191">
        <f>J15*Inputs!$B$26</f>
        <v>0</v>
      </c>
      <c r="M15" s="191">
        <f>K15*Inputs!$B$27</f>
        <v>0</v>
      </c>
      <c r="N15" s="172">
        <f t="shared" si="1"/>
        <v>0</v>
      </c>
      <c r="O15" s="192">
        <f>Inputs!$B$14</f>
        <v>2</v>
      </c>
      <c r="P15" s="171">
        <f>O15*Inputs!$B$15</f>
        <v>53</v>
      </c>
      <c r="Q15" s="171">
        <f>O15*Inputs!$B$16</f>
        <v>25</v>
      </c>
      <c r="R15" s="191">
        <f t="shared" si="2"/>
        <v>28</v>
      </c>
      <c r="S15" s="192">
        <v>0</v>
      </c>
      <c r="T15" s="171">
        <f>C15*Inputs!$B$19</f>
        <v>93460.09063023902</v>
      </c>
      <c r="U15" s="171">
        <f>S15/Inputs!$B$21</f>
        <v>0</v>
      </c>
      <c r="V15" s="171">
        <f>T15/Inputs!$B$21</f>
        <v>5497.65239001406</v>
      </c>
      <c r="W15" s="191">
        <f>U15*Inputs!$B$17</f>
        <v>0</v>
      </c>
      <c r="X15" s="172">
        <f>V15*Inputs!$B$17</f>
        <v>3507502.22482897</v>
      </c>
      <c r="Y15" s="491">
        <f t="shared" si="3"/>
        <v>3734396.3483552905</v>
      </c>
      <c r="AA15" s="497">
        <f>(T15/Inputs!$B$20)*Inputs!$B$18</f>
        <v>7009.506797267927</v>
      </c>
    </row>
    <row r="16" spans="1:27" ht="12">
      <c r="A16" s="188">
        <v>2031</v>
      </c>
      <c r="B16" s="428">
        <v>11</v>
      </c>
      <c r="C16" s="493">
        <f>'Globalplex Cargo Tons'!M27</f>
        <v>1869201.8126047803</v>
      </c>
      <c r="D16" s="189">
        <f>C16/Inputs!$B$21</f>
        <v>109953.0478002812</v>
      </c>
      <c r="E16" s="189">
        <f>(C16-T16)/Inputs!$B$22</f>
        <v>35514.83443949083</v>
      </c>
      <c r="F16" s="189">
        <f>D16*Inputs!$B$26</f>
        <v>329859.1434008436</v>
      </c>
      <c r="G16" s="171">
        <f>E16*Inputs!$B$27</f>
        <v>102993.0198745234</v>
      </c>
      <c r="H16" s="172">
        <f t="shared" si="0"/>
        <v>226866.1235263202</v>
      </c>
      <c r="I16" s="190">
        <f>'Globalplex TEU'!E16</f>
        <v>0</v>
      </c>
      <c r="J16" s="191">
        <f>I16/Inputs!$B$23</f>
        <v>0</v>
      </c>
      <c r="K16" s="191">
        <f>I16/Inputs!$B$24</f>
        <v>0</v>
      </c>
      <c r="L16" s="191">
        <f>J16*Inputs!$B$26</f>
        <v>0</v>
      </c>
      <c r="M16" s="191">
        <f>K16*Inputs!$B$27</f>
        <v>0</v>
      </c>
      <c r="N16" s="172">
        <f t="shared" si="1"/>
        <v>0</v>
      </c>
      <c r="O16" s="192">
        <f>Inputs!$B$14</f>
        <v>2</v>
      </c>
      <c r="P16" s="171">
        <f>O16*Inputs!$B$15</f>
        <v>53</v>
      </c>
      <c r="Q16" s="171">
        <f>O16*Inputs!$B$16</f>
        <v>25</v>
      </c>
      <c r="R16" s="191">
        <f t="shared" si="2"/>
        <v>28</v>
      </c>
      <c r="S16" s="192">
        <v>0</v>
      </c>
      <c r="T16" s="171">
        <f>C16*Inputs!$B$19</f>
        <v>93460.09063023902</v>
      </c>
      <c r="U16" s="171">
        <f>S16/Inputs!$B$21</f>
        <v>0</v>
      </c>
      <c r="V16" s="171">
        <f>T16/Inputs!$B$21</f>
        <v>5497.65239001406</v>
      </c>
      <c r="W16" s="191">
        <f>U16*Inputs!$B$17</f>
        <v>0</v>
      </c>
      <c r="X16" s="172">
        <f>V16*Inputs!$B$17</f>
        <v>3507502.22482897</v>
      </c>
      <c r="Y16" s="491">
        <f t="shared" si="3"/>
        <v>3734396.3483552905</v>
      </c>
      <c r="AA16" s="497">
        <f>(T16/Inputs!$B$20)*Inputs!$B$18</f>
        <v>7009.506797267927</v>
      </c>
    </row>
    <row r="17" spans="1:27" ht="12">
      <c r="A17" s="188">
        <v>2032</v>
      </c>
      <c r="B17" s="428">
        <v>12</v>
      </c>
      <c r="C17" s="493">
        <f>'Globalplex Cargo Tons'!M28</f>
        <v>1869201.8126047803</v>
      </c>
      <c r="D17" s="189">
        <f>C17/Inputs!$B$21</f>
        <v>109953.0478002812</v>
      </c>
      <c r="E17" s="189">
        <f>(C17-T17)/Inputs!$B$22</f>
        <v>35514.83443949083</v>
      </c>
      <c r="F17" s="189">
        <f>D17*Inputs!$B$26</f>
        <v>329859.1434008436</v>
      </c>
      <c r="G17" s="171">
        <f>E17*Inputs!$B$27</f>
        <v>102993.0198745234</v>
      </c>
      <c r="H17" s="172">
        <f t="shared" si="0"/>
        <v>226866.1235263202</v>
      </c>
      <c r="I17" s="190">
        <f>'Globalplex TEU'!E17</f>
        <v>0</v>
      </c>
      <c r="J17" s="191">
        <f>I17/Inputs!$B$23</f>
        <v>0</v>
      </c>
      <c r="K17" s="191">
        <f>I17/Inputs!$B$24</f>
        <v>0</v>
      </c>
      <c r="L17" s="191">
        <f>J17*Inputs!$B$26</f>
        <v>0</v>
      </c>
      <c r="M17" s="191">
        <f>K17*Inputs!$B$27</f>
        <v>0</v>
      </c>
      <c r="N17" s="172">
        <f t="shared" si="1"/>
        <v>0</v>
      </c>
      <c r="O17" s="192">
        <f>Inputs!$B$14</f>
        <v>2</v>
      </c>
      <c r="P17" s="171">
        <f>O17*Inputs!$B$15</f>
        <v>53</v>
      </c>
      <c r="Q17" s="171">
        <f>O17*Inputs!$B$16</f>
        <v>25</v>
      </c>
      <c r="R17" s="191">
        <f t="shared" si="2"/>
        <v>28</v>
      </c>
      <c r="S17" s="192">
        <v>0</v>
      </c>
      <c r="T17" s="171">
        <f>C17*Inputs!$B$19</f>
        <v>93460.09063023902</v>
      </c>
      <c r="U17" s="171">
        <f>S17/Inputs!$B$21</f>
        <v>0</v>
      </c>
      <c r="V17" s="171">
        <f>T17/Inputs!$B$21</f>
        <v>5497.65239001406</v>
      </c>
      <c r="W17" s="191">
        <f>U17*Inputs!$B$17</f>
        <v>0</v>
      </c>
      <c r="X17" s="172">
        <f>V17*Inputs!$B$17</f>
        <v>3507502.22482897</v>
      </c>
      <c r="Y17" s="491">
        <f t="shared" si="3"/>
        <v>3734396.3483552905</v>
      </c>
      <c r="AA17" s="497">
        <f>(T17/Inputs!$B$20)*Inputs!$B$18</f>
        <v>7009.506797267927</v>
      </c>
    </row>
    <row r="18" spans="1:27" ht="12">
      <c r="A18" s="188">
        <v>2033</v>
      </c>
      <c r="B18" s="428">
        <v>13</v>
      </c>
      <c r="C18" s="493">
        <f>'Globalplex Cargo Tons'!M29</f>
        <v>1869201.8126047803</v>
      </c>
      <c r="D18" s="189">
        <f>C18/Inputs!$B$21</f>
        <v>109953.0478002812</v>
      </c>
      <c r="E18" s="189">
        <f>(C18-T18)/Inputs!$B$22</f>
        <v>35514.83443949083</v>
      </c>
      <c r="F18" s="189">
        <f>D18*Inputs!$B$26</f>
        <v>329859.1434008436</v>
      </c>
      <c r="G18" s="171">
        <f>E18*Inputs!$B$27</f>
        <v>102993.0198745234</v>
      </c>
      <c r="H18" s="172">
        <f t="shared" si="0"/>
        <v>226866.1235263202</v>
      </c>
      <c r="I18" s="190">
        <f>'Globalplex TEU'!E18</f>
        <v>0</v>
      </c>
      <c r="J18" s="191">
        <f>I18/Inputs!$B$23</f>
        <v>0</v>
      </c>
      <c r="K18" s="191">
        <f>I18/Inputs!$B$24</f>
        <v>0</v>
      </c>
      <c r="L18" s="191">
        <f>J18*Inputs!$B$26</f>
        <v>0</v>
      </c>
      <c r="M18" s="191">
        <f>K18*Inputs!$B$27</f>
        <v>0</v>
      </c>
      <c r="N18" s="172">
        <f t="shared" si="1"/>
        <v>0</v>
      </c>
      <c r="O18" s="192">
        <f>Inputs!$B$14</f>
        <v>2</v>
      </c>
      <c r="P18" s="171">
        <f>O18*Inputs!$B$15</f>
        <v>53</v>
      </c>
      <c r="Q18" s="171">
        <f>O18*Inputs!$B$16</f>
        <v>25</v>
      </c>
      <c r="R18" s="191">
        <f t="shared" si="2"/>
        <v>28</v>
      </c>
      <c r="S18" s="192">
        <v>0</v>
      </c>
      <c r="T18" s="171">
        <f>C18*Inputs!$B$19</f>
        <v>93460.09063023902</v>
      </c>
      <c r="U18" s="171">
        <f>S18/Inputs!$B$21</f>
        <v>0</v>
      </c>
      <c r="V18" s="171">
        <f>T18/Inputs!$B$21</f>
        <v>5497.65239001406</v>
      </c>
      <c r="W18" s="191">
        <f>U18*Inputs!$B$17</f>
        <v>0</v>
      </c>
      <c r="X18" s="172">
        <f>V18*Inputs!$B$17</f>
        <v>3507502.22482897</v>
      </c>
      <c r="Y18" s="491">
        <f t="shared" si="3"/>
        <v>3734396.3483552905</v>
      </c>
      <c r="AA18" s="497">
        <f>(T18/Inputs!$B$20)*Inputs!$B$18</f>
        <v>7009.506797267927</v>
      </c>
    </row>
    <row r="19" spans="1:27" ht="12">
      <c r="A19" s="188">
        <v>2034</v>
      </c>
      <c r="B19" s="428">
        <v>14</v>
      </c>
      <c r="C19" s="493">
        <f>'Globalplex Cargo Tons'!M30</f>
        <v>1869201.8126047803</v>
      </c>
      <c r="D19" s="189">
        <f>C19/Inputs!$B$21</f>
        <v>109953.0478002812</v>
      </c>
      <c r="E19" s="189">
        <f>(C19-T19)/Inputs!$B$22</f>
        <v>35514.83443949083</v>
      </c>
      <c r="F19" s="189">
        <f>D19*Inputs!$B$26</f>
        <v>329859.1434008436</v>
      </c>
      <c r="G19" s="171">
        <f>E19*Inputs!$B$27</f>
        <v>102993.0198745234</v>
      </c>
      <c r="H19" s="172">
        <f t="shared" si="0"/>
        <v>226866.1235263202</v>
      </c>
      <c r="I19" s="190">
        <f>'Globalplex TEU'!E19</f>
        <v>0</v>
      </c>
      <c r="J19" s="191">
        <f>I19/Inputs!$B$23</f>
        <v>0</v>
      </c>
      <c r="K19" s="191">
        <f>I19/Inputs!$B$24</f>
        <v>0</v>
      </c>
      <c r="L19" s="191">
        <f>J19*Inputs!$B$26</f>
        <v>0</v>
      </c>
      <c r="M19" s="191">
        <f>K19*Inputs!$B$27</f>
        <v>0</v>
      </c>
      <c r="N19" s="172">
        <f t="shared" si="1"/>
        <v>0</v>
      </c>
      <c r="O19" s="192">
        <f>Inputs!$B$14</f>
        <v>2</v>
      </c>
      <c r="P19" s="171">
        <f>O19*Inputs!$B$15</f>
        <v>53</v>
      </c>
      <c r="Q19" s="171">
        <f>O19*Inputs!$B$16</f>
        <v>25</v>
      </c>
      <c r="R19" s="191">
        <f t="shared" si="2"/>
        <v>28</v>
      </c>
      <c r="S19" s="192">
        <v>0</v>
      </c>
      <c r="T19" s="171">
        <f>C19*Inputs!$B$19</f>
        <v>93460.09063023902</v>
      </c>
      <c r="U19" s="171">
        <f>S19/Inputs!$B$21</f>
        <v>0</v>
      </c>
      <c r="V19" s="171">
        <f>T19/Inputs!$B$21</f>
        <v>5497.65239001406</v>
      </c>
      <c r="W19" s="191">
        <f>U19*Inputs!$B$17</f>
        <v>0</v>
      </c>
      <c r="X19" s="172">
        <f>V19*Inputs!$B$17</f>
        <v>3507502.22482897</v>
      </c>
      <c r="Y19" s="491">
        <f t="shared" si="3"/>
        <v>3734396.3483552905</v>
      </c>
      <c r="AA19" s="497">
        <f>(T19/Inputs!$B$20)*Inputs!$B$18</f>
        <v>7009.506797267927</v>
      </c>
    </row>
    <row r="20" spans="1:27" ht="12">
      <c r="A20" s="188">
        <v>2035</v>
      </c>
      <c r="B20" s="428">
        <v>15</v>
      </c>
      <c r="C20" s="493">
        <f>'Globalplex Cargo Tons'!M31</f>
        <v>1869201.8126047803</v>
      </c>
      <c r="D20" s="189">
        <f>C20/Inputs!$B$21</f>
        <v>109953.0478002812</v>
      </c>
      <c r="E20" s="189">
        <f>(C20-T20)/Inputs!$B$22</f>
        <v>35514.83443949083</v>
      </c>
      <c r="F20" s="189">
        <f>D20*Inputs!$B$26</f>
        <v>329859.1434008436</v>
      </c>
      <c r="G20" s="171">
        <f>E20*Inputs!$B$27</f>
        <v>102993.0198745234</v>
      </c>
      <c r="H20" s="172">
        <f t="shared" si="0"/>
        <v>226866.1235263202</v>
      </c>
      <c r="I20" s="190">
        <f>'Globalplex TEU'!E20</f>
        <v>0</v>
      </c>
      <c r="J20" s="191">
        <f>I20/Inputs!$B$23</f>
        <v>0</v>
      </c>
      <c r="K20" s="191">
        <f>I20/Inputs!$B$24</f>
        <v>0</v>
      </c>
      <c r="L20" s="191">
        <f>J20*Inputs!$B$26</f>
        <v>0</v>
      </c>
      <c r="M20" s="191">
        <f>K20*Inputs!$B$27</f>
        <v>0</v>
      </c>
      <c r="N20" s="172">
        <f t="shared" si="1"/>
        <v>0</v>
      </c>
      <c r="O20" s="192">
        <f>Inputs!$B$14</f>
        <v>2</v>
      </c>
      <c r="P20" s="171">
        <f>O20*Inputs!$B$15</f>
        <v>53</v>
      </c>
      <c r="Q20" s="171">
        <f>O20*Inputs!$B$16</f>
        <v>25</v>
      </c>
      <c r="R20" s="191">
        <f t="shared" si="2"/>
        <v>28</v>
      </c>
      <c r="S20" s="192">
        <v>0</v>
      </c>
      <c r="T20" s="171">
        <f>C20*Inputs!$B$19</f>
        <v>93460.09063023902</v>
      </c>
      <c r="U20" s="171">
        <f>S20/Inputs!$B$21</f>
        <v>0</v>
      </c>
      <c r="V20" s="171">
        <f>T20/Inputs!$B$21</f>
        <v>5497.65239001406</v>
      </c>
      <c r="W20" s="191">
        <f>U20*Inputs!$B$17</f>
        <v>0</v>
      </c>
      <c r="X20" s="172">
        <f>V20*Inputs!$B$17</f>
        <v>3507502.22482897</v>
      </c>
      <c r="Y20" s="491">
        <f t="shared" si="3"/>
        <v>3734396.3483552905</v>
      </c>
      <c r="AA20" s="497">
        <f>(T20/Inputs!$B$20)*Inputs!$B$18</f>
        <v>7009.506797267927</v>
      </c>
    </row>
    <row r="21" spans="1:27" ht="12">
      <c r="A21" s="188">
        <v>2036</v>
      </c>
      <c r="B21" s="428">
        <v>16</v>
      </c>
      <c r="C21" s="493">
        <f>'Globalplex Cargo Tons'!M32</f>
        <v>1869201.8126047803</v>
      </c>
      <c r="D21" s="189">
        <f>C21/Inputs!$B$21</f>
        <v>109953.0478002812</v>
      </c>
      <c r="E21" s="189">
        <f>(C21-T21)/Inputs!$B$22</f>
        <v>35514.83443949083</v>
      </c>
      <c r="F21" s="189">
        <f>D21*Inputs!$B$26</f>
        <v>329859.1434008436</v>
      </c>
      <c r="G21" s="171">
        <f>E21*Inputs!$B$27</f>
        <v>102993.0198745234</v>
      </c>
      <c r="H21" s="172">
        <f t="shared" si="0"/>
        <v>226866.1235263202</v>
      </c>
      <c r="I21" s="190">
        <f>'Globalplex TEU'!E21</f>
        <v>0</v>
      </c>
      <c r="J21" s="191">
        <f>I21/Inputs!$B$23</f>
        <v>0</v>
      </c>
      <c r="K21" s="191">
        <f>I21/Inputs!$B$24</f>
        <v>0</v>
      </c>
      <c r="L21" s="191">
        <f>J21*Inputs!$B$26</f>
        <v>0</v>
      </c>
      <c r="M21" s="191">
        <f>K21*Inputs!$B$27</f>
        <v>0</v>
      </c>
      <c r="N21" s="172">
        <f t="shared" si="1"/>
        <v>0</v>
      </c>
      <c r="O21" s="192">
        <f>Inputs!$B$14</f>
        <v>2</v>
      </c>
      <c r="P21" s="171">
        <f>O21*Inputs!$B$15</f>
        <v>53</v>
      </c>
      <c r="Q21" s="171">
        <f>O21*Inputs!$B$16</f>
        <v>25</v>
      </c>
      <c r="R21" s="191">
        <f t="shared" si="2"/>
        <v>28</v>
      </c>
      <c r="S21" s="192">
        <v>0</v>
      </c>
      <c r="T21" s="171">
        <f>C21*Inputs!$B$19</f>
        <v>93460.09063023902</v>
      </c>
      <c r="U21" s="171">
        <f>S21/Inputs!$B$21</f>
        <v>0</v>
      </c>
      <c r="V21" s="171">
        <f>T21/Inputs!$B$21</f>
        <v>5497.65239001406</v>
      </c>
      <c r="W21" s="191">
        <f>U21*Inputs!$B$17</f>
        <v>0</v>
      </c>
      <c r="X21" s="172">
        <f>V21*Inputs!$B$17</f>
        <v>3507502.22482897</v>
      </c>
      <c r="Y21" s="491">
        <f t="shared" si="3"/>
        <v>3734396.3483552905</v>
      </c>
      <c r="AA21" s="497">
        <f>(T21/Inputs!$B$20)*Inputs!$B$18</f>
        <v>7009.506797267927</v>
      </c>
    </row>
    <row r="22" spans="1:27" ht="12">
      <c r="A22" s="188">
        <v>2037</v>
      </c>
      <c r="B22" s="428">
        <v>17</v>
      </c>
      <c r="C22" s="493">
        <f>'Globalplex Cargo Tons'!M33</f>
        <v>1869201.8126047803</v>
      </c>
      <c r="D22" s="189">
        <f>C22/Inputs!$B$21</f>
        <v>109953.0478002812</v>
      </c>
      <c r="E22" s="189">
        <f>(C22-T22)/Inputs!$B$22</f>
        <v>35514.83443949083</v>
      </c>
      <c r="F22" s="189">
        <f>D22*Inputs!$B$26</f>
        <v>329859.1434008436</v>
      </c>
      <c r="G22" s="171">
        <f>E22*Inputs!$B$27</f>
        <v>102993.0198745234</v>
      </c>
      <c r="H22" s="172">
        <f t="shared" si="0"/>
        <v>226866.1235263202</v>
      </c>
      <c r="I22" s="190">
        <f>'Globalplex TEU'!E22</f>
        <v>0</v>
      </c>
      <c r="J22" s="191">
        <f>I22/Inputs!$B$23</f>
        <v>0</v>
      </c>
      <c r="K22" s="191">
        <f>I22/Inputs!$B$24</f>
        <v>0</v>
      </c>
      <c r="L22" s="191">
        <f>J22*Inputs!$B$26</f>
        <v>0</v>
      </c>
      <c r="M22" s="191">
        <f>K22*Inputs!$B$27</f>
        <v>0</v>
      </c>
      <c r="N22" s="172">
        <f t="shared" si="1"/>
        <v>0</v>
      </c>
      <c r="O22" s="192">
        <f>Inputs!$B$14</f>
        <v>2</v>
      </c>
      <c r="P22" s="171">
        <f>O22*Inputs!$B$15</f>
        <v>53</v>
      </c>
      <c r="Q22" s="171">
        <f>O22*Inputs!$B$16</f>
        <v>25</v>
      </c>
      <c r="R22" s="191">
        <f t="shared" si="2"/>
        <v>28</v>
      </c>
      <c r="S22" s="192">
        <v>0</v>
      </c>
      <c r="T22" s="171">
        <f>C22*Inputs!$B$19</f>
        <v>93460.09063023902</v>
      </c>
      <c r="U22" s="171">
        <f>S22/Inputs!$B$21</f>
        <v>0</v>
      </c>
      <c r="V22" s="171">
        <f>T22/Inputs!$B$21</f>
        <v>5497.65239001406</v>
      </c>
      <c r="W22" s="191">
        <f>U22*Inputs!$B$17</f>
        <v>0</v>
      </c>
      <c r="X22" s="172">
        <f>V22*Inputs!$B$17</f>
        <v>3507502.22482897</v>
      </c>
      <c r="Y22" s="491">
        <f t="shared" si="3"/>
        <v>3734396.3483552905</v>
      </c>
      <c r="AA22" s="497">
        <f>(T22/Inputs!$B$20)*Inputs!$B$18</f>
        <v>7009.506797267927</v>
      </c>
    </row>
    <row r="23" spans="1:27" ht="12">
      <c r="A23" s="188">
        <v>2038</v>
      </c>
      <c r="B23" s="428">
        <v>18</v>
      </c>
      <c r="C23" s="493">
        <f>'Globalplex Cargo Tons'!M34</f>
        <v>1869201.8126047803</v>
      </c>
      <c r="D23" s="189">
        <f>C23/Inputs!$B$21</f>
        <v>109953.0478002812</v>
      </c>
      <c r="E23" s="189">
        <f>(C23-T23)/Inputs!$B$22</f>
        <v>35514.83443949083</v>
      </c>
      <c r="F23" s="189">
        <f>D23*Inputs!$B$26</f>
        <v>329859.1434008436</v>
      </c>
      <c r="G23" s="171">
        <f>E23*Inputs!$B$27</f>
        <v>102993.0198745234</v>
      </c>
      <c r="H23" s="172">
        <f t="shared" si="0"/>
        <v>226866.1235263202</v>
      </c>
      <c r="I23" s="190">
        <f>'Globalplex TEU'!E23</f>
        <v>0</v>
      </c>
      <c r="J23" s="191">
        <f>I23/Inputs!$B$23</f>
        <v>0</v>
      </c>
      <c r="K23" s="191">
        <f>I23/Inputs!$B$24</f>
        <v>0</v>
      </c>
      <c r="L23" s="191">
        <f>J23*Inputs!$B$26</f>
        <v>0</v>
      </c>
      <c r="M23" s="191">
        <f>K23*Inputs!$B$27</f>
        <v>0</v>
      </c>
      <c r="N23" s="172">
        <f t="shared" si="1"/>
        <v>0</v>
      </c>
      <c r="O23" s="192">
        <f>Inputs!$B$14</f>
        <v>2</v>
      </c>
      <c r="P23" s="171">
        <f>O23*Inputs!$B$15</f>
        <v>53</v>
      </c>
      <c r="Q23" s="171">
        <f>O23*Inputs!$B$16</f>
        <v>25</v>
      </c>
      <c r="R23" s="191">
        <f t="shared" si="2"/>
        <v>28</v>
      </c>
      <c r="S23" s="192">
        <v>0</v>
      </c>
      <c r="T23" s="171">
        <f>C23*Inputs!$B$19</f>
        <v>93460.09063023902</v>
      </c>
      <c r="U23" s="171">
        <f>S23/Inputs!$B$21</f>
        <v>0</v>
      </c>
      <c r="V23" s="171">
        <f>T23/Inputs!$B$21</f>
        <v>5497.65239001406</v>
      </c>
      <c r="W23" s="191">
        <f>U23*Inputs!$B$17</f>
        <v>0</v>
      </c>
      <c r="X23" s="172">
        <f>V23*Inputs!$B$17</f>
        <v>3507502.22482897</v>
      </c>
      <c r="Y23" s="491">
        <f t="shared" si="3"/>
        <v>3734396.3483552905</v>
      </c>
      <c r="AA23" s="497">
        <f>(T23/Inputs!$B$20)*Inputs!$B$18</f>
        <v>7009.506797267927</v>
      </c>
    </row>
    <row r="24" spans="1:27" ht="12">
      <c r="A24" s="188">
        <v>2039</v>
      </c>
      <c r="B24" s="428">
        <v>19</v>
      </c>
      <c r="C24" s="493">
        <f>'Globalplex Cargo Tons'!M35</f>
        <v>1869201.8126047803</v>
      </c>
      <c r="D24" s="189">
        <f>C24/Inputs!$B$21</f>
        <v>109953.0478002812</v>
      </c>
      <c r="E24" s="189">
        <f>(C24-T24)/Inputs!$B$22</f>
        <v>35514.83443949083</v>
      </c>
      <c r="F24" s="189">
        <f>D24*Inputs!$B$26</f>
        <v>329859.1434008436</v>
      </c>
      <c r="G24" s="171">
        <f>E24*Inputs!$B$27</f>
        <v>102993.0198745234</v>
      </c>
      <c r="H24" s="172">
        <f t="shared" si="0"/>
        <v>226866.1235263202</v>
      </c>
      <c r="I24" s="190">
        <f>'Globalplex TEU'!E24</f>
        <v>0</v>
      </c>
      <c r="J24" s="191">
        <f>I24/Inputs!$B$23</f>
        <v>0</v>
      </c>
      <c r="K24" s="191">
        <f>I24/Inputs!$B$24</f>
        <v>0</v>
      </c>
      <c r="L24" s="191">
        <f>J24*Inputs!$B$26</f>
        <v>0</v>
      </c>
      <c r="M24" s="191">
        <f>K24*Inputs!$B$27</f>
        <v>0</v>
      </c>
      <c r="N24" s="172">
        <f t="shared" si="1"/>
        <v>0</v>
      </c>
      <c r="O24" s="192">
        <f>Inputs!$B$14</f>
        <v>2</v>
      </c>
      <c r="P24" s="171">
        <f>O24*Inputs!$B$15</f>
        <v>53</v>
      </c>
      <c r="Q24" s="171">
        <f>O24*Inputs!$B$16</f>
        <v>25</v>
      </c>
      <c r="R24" s="191">
        <f t="shared" si="2"/>
        <v>28</v>
      </c>
      <c r="S24" s="192">
        <v>0</v>
      </c>
      <c r="T24" s="171">
        <f>C24*Inputs!$B$19</f>
        <v>93460.09063023902</v>
      </c>
      <c r="U24" s="171">
        <f>S24/Inputs!$B$21</f>
        <v>0</v>
      </c>
      <c r="V24" s="171">
        <f>T24/Inputs!$B$21</f>
        <v>5497.65239001406</v>
      </c>
      <c r="W24" s="191">
        <f>U24*Inputs!$B$17</f>
        <v>0</v>
      </c>
      <c r="X24" s="172">
        <f>V24*Inputs!$B$17</f>
        <v>3507502.22482897</v>
      </c>
      <c r="Y24" s="491">
        <f t="shared" si="3"/>
        <v>3734396.3483552905</v>
      </c>
      <c r="AA24" s="497">
        <f>(T24/Inputs!$B$20)*Inputs!$B$18</f>
        <v>7009.506797267927</v>
      </c>
    </row>
    <row r="25" spans="1:27" ht="12">
      <c r="A25" s="188">
        <v>2040</v>
      </c>
      <c r="B25" s="428">
        <v>20</v>
      </c>
      <c r="C25" s="493">
        <f>'Globalplex Cargo Tons'!M36</f>
        <v>1869201.8126047803</v>
      </c>
      <c r="D25" s="189">
        <f>C25/Inputs!$B$21</f>
        <v>109953.0478002812</v>
      </c>
      <c r="E25" s="189">
        <f>(C25-T25)/Inputs!$B$22</f>
        <v>35514.83443949083</v>
      </c>
      <c r="F25" s="189">
        <f>D25*Inputs!$B$26</f>
        <v>329859.1434008436</v>
      </c>
      <c r="G25" s="171">
        <f>E25*Inputs!$B$27</f>
        <v>102993.0198745234</v>
      </c>
      <c r="H25" s="172">
        <f t="shared" si="0"/>
        <v>226866.1235263202</v>
      </c>
      <c r="I25" s="190">
        <f>'Globalplex TEU'!E25</f>
        <v>0</v>
      </c>
      <c r="J25" s="191">
        <f>I25/Inputs!$B$23</f>
        <v>0</v>
      </c>
      <c r="K25" s="191">
        <f>I25/Inputs!$B$24</f>
        <v>0</v>
      </c>
      <c r="L25" s="191">
        <f>J25*Inputs!$B$26</f>
        <v>0</v>
      </c>
      <c r="M25" s="191">
        <f>K25*Inputs!$B$27</f>
        <v>0</v>
      </c>
      <c r="N25" s="172">
        <f t="shared" si="1"/>
        <v>0</v>
      </c>
      <c r="O25" s="192">
        <f>Inputs!$B$14</f>
        <v>2</v>
      </c>
      <c r="P25" s="171">
        <f>O25*Inputs!$B$15</f>
        <v>53</v>
      </c>
      <c r="Q25" s="171">
        <f>O25*Inputs!$B$16</f>
        <v>25</v>
      </c>
      <c r="R25" s="191">
        <f t="shared" si="2"/>
        <v>28</v>
      </c>
      <c r="S25" s="192">
        <v>0</v>
      </c>
      <c r="T25" s="171">
        <f>C25*Inputs!$B$19</f>
        <v>93460.09063023902</v>
      </c>
      <c r="U25" s="171">
        <f>S25/Inputs!$B$21</f>
        <v>0</v>
      </c>
      <c r="V25" s="171">
        <f>T25/Inputs!$B$21</f>
        <v>5497.65239001406</v>
      </c>
      <c r="W25" s="191">
        <f>U25*Inputs!$B$17</f>
        <v>0</v>
      </c>
      <c r="X25" s="172">
        <f>V25*Inputs!$B$17</f>
        <v>3507502.22482897</v>
      </c>
      <c r="Y25" s="491">
        <f t="shared" si="3"/>
        <v>3734396.3483552905</v>
      </c>
      <c r="AA25" s="497">
        <f>(T25/Inputs!$B$20)*Inputs!$B$18</f>
        <v>7009.506797267927</v>
      </c>
    </row>
    <row r="26" spans="1:27" ht="12">
      <c r="A26" s="188">
        <v>2041</v>
      </c>
      <c r="B26" s="428">
        <v>21</v>
      </c>
      <c r="C26" s="493">
        <f>'Globalplex Cargo Tons'!M37</f>
        <v>1869201.8126047803</v>
      </c>
      <c r="D26" s="189">
        <f>C26/Inputs!$B$21</f>
        <v>109953.0478002812</v>
      </c>
      <c r="E26" s="189">
        <f>(C26-T26)/Inputs!$B$22</f>
        <v>35514.83443949083</v>
      </c>
      <c r="F26" s="189">
        <f>D26*Inputs!$B$26</f>
        <v>329859.1434008436</v>
      </c>
      <c r="G26" s="171">
        <f>E26*Inputs!$B$27</f>
        <v>102993.0198745234</v>
      </c>
      <c r="H26" s="172">
        <f t="shared" si="0"/>
        <v>226866.1235263202</v>
      </c>
      <c r="I26" s="190">
        <f>'Globalplex TEU'!E26</f>
        <v>0</v>
      </c>
      <c r="J26" s="191">
        <f>I26/Inputs!$B$23</f>
        <v>0</v>
      </c>
      <c r="K26" s="191">
        <f>I26/Inputs!$B$24</f>
        <v>0</v>
      </c>
      <c r="L26" s="191">
        <f>J26*Inputs!$B$26</f>
        <v>0</v>
      </c>
      <c r="M26" s="191">
        <f>K26*Inputs!$B$27</f>
        <v>0</v>
      </c>
      <c r="N26" s="172">
        <f t="shared" si="1"/>
        <v>0</v>
      </c>
      <c r="O26" s="192">
        <f>Inputs!$B$14</f>
        <v>2</v>
      </c>
      <c r="P26" s="171">
        <f>O26*Inputs!$B$15</f>
        <v>53</v>
      </c>
      <c r="Q26" s="171">
        <f>O26*Inputs!$B$16</f>
        <v>25</v>
      </c>
      <c r="R26" s="191">
        <f t="shared" si="2"/>
        <v>28</v>
      </c>
      <c r="S26" s="192">
        <v>0</v>
      </c>
      <c r="T26" s="171">
        <f>C26*Inputs!$B$19</f>
        <v>93460.09063023902</v>
      </c>
      <c r="U26" s="171">
        <f>S26/Inputs!$B$21</f>
        <v>0</v>
      </c>
      <c r="V26" s="171">
        <f>T26/Inputs!$B$21</f>
        <v>5497.65239001406</v>
      </c>
      <c r="W26" s="191">
        <f>U26*Inputs!$B$17</f>
        <v>0</v>
      </c>
      <c r="X26" s="172">
        <f>V26*Inputs!$B$17</f>
        <v>3507502.22482897</v>
      </c>
      <c r="Y26" s="491">
        <f t="shared" si="3"/>
        <v>3734396.3483552905</v>
      </c>
      <c r="AA26" s="497">
        <f>(T26/Inputs!$B$20)*Inputs!$B$18</f>
        <v>7009.506797267927</v>
      </c>
    </row>
    <row r="27" spans="1:27" ht="12">
      <c r="A27" s="188">
        <v>2042</v>
      </c>
      <c r="B27" s="428">
        <v>22</v>
      </c>
      <c r="C27" s="493">
        <f>'Globalplex Cargo Tons'!M38</f>
        <v>1869201.8126047803</v>
      </c>
      <c r="D27" s="189">
        <f>C27/Inputs!$B$21</f>
        <v>109953.0478002812</v>
      </c>
      <c r="E27" s="189">
        <f>(C27-T27)/Inputs!$B$22</f>
        <v>35514.83443949083</v>
      </c>
      <c r="F27" s="189">
        <f>D27*Inputs!$B$26</f>
        <v>329859.1434008436</v>
      </c>
      <c r="G27" s="171">
        <f>E27*Inputs!$B$27</f>
        <v>102993.0198745234</v>
      </c>
      <c r="H27" s="172">
        <f t="shared" si="0"/>
        <v>226866.1235263202</v>
      </c>
      <c r="I27" s="190">
        <f>'Globalplex TEU'!E27</f>
        <v>0</v>
      </c>
      <c r="J27" s="191">
        <f>I27/Inputs!$B$23</f>
        <v>0</v>
      </c>
      <c r="K27" s="191">
        <f>I27/Inputs!$B$24</f>
        <v>0</v>
      </c>
      <c r="L27" s="191">
        <f>J27*Inputs!$B$26</f>
        <v>0</v>
      </c>
      <c r="M27" s="191">
        <f>K27*Inputs!$B$27</f>
        <v>0</v>
      </c>
      <c r="N27" s="172">
        <f t="shared" si="1"/>
        <v>0</v>
      </c>
      <c r="O27" s="192">
        <f>Inputs!$B$14</f>
        <v>2</v>
      </c>
      <c r="P27" s="171">
        <f>O27*Inputs!$B$15</f>
        <v>53</v>
      </c>
      <c r="Q27" s="171">
        <f>O27*Inputs!$B$16</f>
        <v>25</v>
      </c>
      <c r="R27" s="191">
        <f t="shared" si="2"/>
        <v>28</v>
      </c>
      <c r="S27" s="192">
        <v>0</v>
      </c>
      <c r="T27" s="171">
        <f>C27*Inputs!$B$19</f>
        <v>93460.09063023902</v>
      </c>
      <c r="U27" s="171">
        <f>S27/Inputs!$B$21</f>
        <v>0</v>
      </c>
      <c r="V27" s="171">
        <f>T27/Inputs!$B$21</f>
        <v>5497.65239001406</v>
      </c>
      <c r="W27" s="191">
        <f>U27*Inputs!$B$17</f>
        <v>0</v>
      </c>
      <c r="X27" s="172">
        <f>V27*Inputs!$B$17</f>
        <v>3507502.22482897</v>
      </c>
      <c r="Y27" s="491">
        <f t="shared" si="3"/>
        <v>3734396.3483552905</v>
      </c>
      <c r="AA27" s="497">
        <f>(T27/Inputs!$B$20)*Inputs!$B$18</f>
        <v>7009.506797267927</v>
      </c>
    </row>
    <row r="28" spans="1:27" ht="12">
      <c r="A28" s="188">
        <v>2043</v>
      </c>
      <c r="B28" s="428">
        <v>23</v>
      </c>
      <c r="C28" s="493">
        <f>'Globalplex Cargo Tons'!M39</f>
        <v>1869201.8126047803</v>
      </c>
      <c r="D28" s="189">
        <f>C28/Inputs!$B$21</f>
        <v>109953.0478002812</v>
      </c>
      <c r="E28" s="189">
        <f>(C28-T28)/Inputs!$B$22</f>
        <v>35514.83443949083</v>
      </c>
      <c r="F28" s="189">
        <f>D28*Inputs!$B$26</f>
        <v>329859.1434008436</v>
      </c>
      <c r="G28" s="171">
        <f>E28*Inputs!$B$27</f>
        <v>102993.0198745234</v>
      </c>
      <c r="H28" s="172">
        <f t="shared" si="0"/>
        <v>226866.1235263202</v>
      </c>
      <c r="I28" s="190">
        <f>'Globalplex TEU'!E28</f>
        <v>0</v>
      </c>
      <c r="J28" s="191">
        <f>I28/Inputs!$B$23</f>
        <v>0</v>
      </c>
      <c r="K28" s="191">
        <f>I28/Inputs!$B$24</f>
        <v>0</v>
      </c>
      <c r="L28" s="191">
        <f>J28*Inputs!$B$26</f>
        <v>0</v>
      </c>
      <c r="M28" s="191">
        <f>K28*Inputs!$B$27</f>
        <v>0</v>
      </c>
      <c r="N28" s="172">
        <f t="shared" si="1"/>
        <v>0</v>
      </c>
      <c r="O28" s="192">
        <f>Inputs!$B$14</f>
        <v>2</v>
      </c>
      <c r="P28" s="171">
        <f>O28*Inputs!$B$15</f>
        <v>53</v>
      </c>
      <c r="Q28" s="171">
        <f>O28*Inputs!$B$16</f>
        <v>25</v>
      </c>
      <c r="R28" s="191">
        <f t="shared" si="2"/>
        <v>28</v>
      </c>
      <c r="S28" s="192">
        <v>0</v>
      </c>
      <c r="T28" s="171">
        <f>C28*Inputs!$B$19</f>
        <v>93460.09063023902</v>
      </c>
      <c r="U28" s="171">
        <f>S28/Inputs!$B$21</f>
        <v>0</v>
      </c>
      <c r="V28" s="171">
        <f>T28/Inputs!$B$21</f>
        <v>5497.65239001406</v>
      </c>
      <c r="W28" s="191">
        <f>U28*Inputs!$B$17</f>
        <v>0</v>
      </c>
      <c r="X28" s="172">
        <f>V28*Inputs!$B$17</f>
        <v>3507502.22482897</v>
      </c>
      <c r="Y28" s="491">
        <f t="shared" si="3"/>
        <v>3734396.3483552905</v>
      </c>
      <c r="AA28" s="497">
        <f>(T28/Inputs!$B$20)*Inputs!$B$18</f>
        <v>7009.506797267927</v>
      </c>
    </row>
    <row r="29" spans="1:27" ht="12">
      <c r="A29" s="188">
        <v>2044</v>
      </c>
      <c r="B29" s="428">
        <v>24</v>
      </c>
      <c r="C29" s="493">
        <f>'Globalplex Cargo Tons'!M40</f>
        <v>1869201.8126047803</v>
      </c>
      <c r="D29" s="189">
        <f>C29/Inputs!$B$21</f>
        <v>109953.0478002812</v>
      </c>
      <c r="E29" s="189">
        <f>(C29-T29)/Inputs!$B$22</f>
        <v>35514.83443949083</v>
      </c>
      <c r="F29" s="189">
        <f>D29*Inputs!$B$26</f>
        <v>329859.1434008436</v>
      </c>
      <c r="G29" s="171">
        <f>E29*Inputs!$B$27</f>
        <v>102993.0198745234</v>
      </c>
      <c r="H29" s="172">
        <f t="shared" si="0"/>
        <v>226866.1235263202</v>
      </c>
      <c r="I29" s="190">
        <f>'Globalplex TEU'!E29</f>
        <v>0</v>
      </c>
      <c r="J29" s="191">
        <f>I29/Inputs!$B$23</f>
        <v>0</v>
      </c>
      <c r="K29" s="191">
        <f>I29/Inputs!$B$24</f>
        <v>0</v>
      </c>
      <c r="L29" s="191">
        <f>J29*Inputs!$B$26</f>
        <v>0</v>
      </c>
      <c r="M29" s="191">
        <f>K29*Inputs!$B$27</f>
        <v>0</v>
      </c>
      <c r="N29" s="172">
        <f t="shared" si="1"/>
        <v>0</v>
      </c>
      <c r="O29" s="192">
        <f>Inputs!$B$14</f>
        <v>2</v>
      </c>
      <c r="P29" s="171">
        <f>O29*Inputs!$B$15</f>
        <v>53</v>
      </c>
      <c r="Q29" s="171">
        <f>O29*Inputs!$B$16</f>
        <v>25</v>
      </c>
      <c r="R29" s="191">
        <f t="shared" si="2"/>
        <v>28</v>
      </c>
      <c r="S29" s="192">
        <v>0</v>
      </c>
      <c r="T29" s="171">
        <f>C29*Inputs!$B$19</f>
        <v>93460.09063023902</v>
      </c>
      <c r="U29" s="171">
        <f>S29/Inputs!$B$21</f>
        <v>0</v>
      </c>
      <c r="V29" s="171">
        <f>T29/Inputs!$B$21</f>
        <v>5497.65239001406</v>
      </c>
      <c r="W29" s="191">
        <f>U29*Inputs!$B$17</f>
        <v>0</v>
      </c>
      <c r="X29" s="172">
        <f>V29*Inputs!$B$17</f>
        <v>3507502.22482897</v>
      </c>
      <c r="Y29" s="491">
        <f t="shared" si="3"/>
        <v>3734396.3483552905</v>
      </c>
      <c r="AA29" s="497">
        <f>(T29/Inputs!$B$20)*Inputs!$B$18</f>
        <v>7009.506797267927</v>
      </c>
    </row>
    <row r="30" spans="1:27" ht="12">
      <c r="A30" s="188">
        <v>2045</v>
      </c>
      <c r="B30" s="428">
        <v>25</v>
      </c>
      <c r="C30" s="493">
        <f>'Globalplex Cargo Tons'!M41</f>
        <v>1869201.8126047803</v>
      </c>
      <c r="D30" s="189">
        <f>C30/Inputs!$B$21</f>
        <v>109953.0478002812</v>
      </c>
      <c r="E30" s="189">
        <f>(C30-T30)/Inputs!$B$22</f>
        <v>35514.83443949083</v>
      </c>
      <c r="F30" s="189">
        <f>D30*Inputs!$B$26</f>
        <v>329859.1434008436</v>
      </c>
      <c r="G30" s="171">
        <f>E30*Inputs!$B$27</f>
        <v>102993.0198745234</v>
      </c>
      <c r="H30" s="172">
        <f t="shared" si="0"/>
        <v>226866.1235263202</v>
      </c>
      <c r="I30" s="190">
        <f>'Globalplex TEU'!E30</f>
        <v>0</v>
      </c>
      <c r="J30" s="191">
        <f>I30/Inputs!$B$23</f>
        <v>0</v>
      </c>
      <c r="K30" s="191">
        <f>I30/Inputs!$B$24</f>
        <v>0</v>
      </c>
      <c r="L30" s="191">
        <f>J30*Inputs!$B$26</f>
        <v>0</v>
      </c>
      <c r="M30" s="191">
        <f>K30*Inputs!$B$27</f>
        <v>0</v>
      </c>
      <c r="N30" s="172">
        <f t="shared" si="1"/>
        <v>0</v>
      </c>
      <c r="O30" s="192">
        <f>Inputs!$B$14</f>
        <v>2</v>
      </c>
      <c r="P30" s="171">
        <f>O30*Inputs!$B$15</f>
        <v>53</v>
      </c>
      <c r="Q30" s="171">
        <f>O30*Inputs!$B$16</f>
        <v>25</v>
      </c>
      <c r="R30" s="191">
        <f t="shared" si="2"/>
        <v>28</v>
      </c>
      <c r="S30" s="192">
        <v>0</v>
      </c>
      <c r="T30" s="171">
        <f>C30*Inputs!$B$19</f>
        <v>93460.09063023902</v>
      </c>
      <c r="U30" s="171">
        <f>S30/Inputs!$B$21</f>
        <v>0</v>
      </c>
      <c r="V30" s="171">
        <f>T30/Inputs!$B$21</f>
        <v>5497.65239001406</v>
      </c>
      <c r="W30" s="191">
        <f>U30*Inputs!$B$17</f>
        <v>0</v>
      </c>
      <c r="X30" s="172">
        <f>V30*Inputs!$B$17</f>
        <v>3507502.22482897</v>
      </c>
      <c r="Y30" s="491">
        <f t="shared" si="3"/>
        <v>3734396.3483552905</v>
      </c>
      <c r="AA30" s="497">
        <f>(T30/Inputs!$B$20)*Inputs!$B$18</f>
        <v>7009.506797267927</v>
      </c>
    </row>
    <row r="31" spans="1:27" ht="12">
      <c r="A31" s="188">
        <v>2046</v>
      </c>
      <c r="B31" s="428">
        <v>26</v>
      </c>
      <c r="C31" s="493">
        <f>'Globalplex Cargo Tons'!M42</f>
        <v>1869201.8126047803</v>
      </c>
      <c r="D31" s="189">
        <f>C31/Inputs!$B$21</f>
        <v>109953.0478002812</v>
      </c>
      <c r="E31" s="189">
        <f>(C31-T31)/Inputs!$B$22</f>
        <v>35514.83443949083</v>
      </c>
      <c r="F31" s="189">
        <f>D31*Inputs!$B$26</f>
        <v>329859.1434008436</v>
      </c>
      <c r="G31" s="171">
        <f>E31*Inputs!$B$27</f>
        <v>102993.0198745234</v>
      </c>
      <c r="H31" s="172">
        <f t="shared" si="0"/>
        <v>226866.1235263202</v>
      </c>
      <c r="I31" s="190">
        <f>'Globalplex TEU'!E31</f>
        <v>0</v>
      </c>
      <c r="J31" s="191">
        <f>I31/Inputs!$B$23</f>
        <v>0</v>
      </c>
      <c r="K31" s="191">
        <f>I31/Inputs!$B$24</f>
        <v>0</v>
      </c>
      <c r="L31" s="191">
        <f>J31*Inputs!$B$26</f>
        <v>0</v>
      </c>
      <c r="M31" s="191">
        <f>K31*Inputs!$B$27</f>
        <v>0</v>
      </c>
      <c r="N31" s="172">
        <f t="shared" si="1"/>
        <v>0</v>
      </c>
      <c r="O31" s="192">
        <f>Inputs!$B$14</f>
        <v>2</v>
      </c>
      <c r="P31" s="171">
        <f>O31*Inputs!$B$15</f>
        <v>53</v>
      </c>
      <c r="Q31" s="171">
        <f>O31*Inputs!$B$16</f>
        <v>25</v>
      </c>
      <c r="R31" s="191">
        <f t="shared" si="2"/>
        <v>28</v>
      </c>
      <c r="S31" s="192">
        <v>0</v>
      </c>
      <c r="T31" s="171">
        <f>C31*Inputs!$B$19</f>
        <v>93460.09063023902</v>
      </c>
      <c r="U31" s="171">
        <f>S31/Inputs!$B$21</f>
        <v>0</v>
      </c>
      <c r="V31" s="171">
        <f>T31/Inputs!$B$21</f>
        <v>5497.65239001406</v>
      </c>
      <c r="W31" s="191">
        <f>U31*Inputs!$B$17</f>
        <v>0</v>
      </c>
      <c r="X31" s="172">
        <f>V31*Inputs!$B$17</f>
        <v>3507502.22482897</v>
      </c>
      <c r="Y31" s="491">
        <f t="shared" si="3"/>
        <v>3734396.3483552905</v>
      </c>
      <c r="AA31" s="497">
        <f>(T31/Inputs!$B$20)*Inputs!$B$18</f>
        <v>7009.506797267927</v>
      </c>
    </row>
    <row r="32" spans="1:27" ht="12">
      <c r="A32" s="188">
        <v>2047</v>
      </c>
      <c r="B32" s="428">
        <v>27</v>
      </c>
      <c r="C32" s="493">
        <f>'Globalplex Cargo Tons'!M43</f>
        <v>1869201.8126047803</v>
      </c>
      <c r="D32" s="189">
        <f>C32/Inputs!$B$21</f>
        <v>109953.0478002812</v>
      </c>
      <c r="E32" s="189">
        <f>(C32-T32)/Inputs!$B$22</f>
        <v>35514.83443949083</v>
      </c>
      <c r="F32" s="189">
        <f>D32*Inputs!$B$26</f>
        <v>329859.1434008436</v>
      </c>
      <c r="G32" s="171">
        <f>E32*Inputs!$B$27</f>
        <v>102993.0198745234</v>
      </c>
      <c r="H32" s="172">
        <f t="shared" si="0"/>
        <v>226866.1235263202</v>
      </c>
      <c r="I32" s="190">
        <f>'Globalplex TEU'!E32</f>
        <v>0</v>
      </c>
      <c r="J32" s="191">
        <f>I32/Inputs!$B$23</f>
        <v>0</v>
      </c>
      <c r="K32" s="191">
        <f>I32/Inputs!$B$24</f>
        <v>0</v>
      </c>
      <c r="L32" s="191">
        <f>J32*Inputs!$B$26</f>
        <v>0</v>
      </c>
      <c r="M32" s="191">
        <f>K32*Inputs!$B$27</f>
        <v>0</v>
      </c>
      <c r="N32" s="172">
        <f t="shared" si="1"/>
        <v>0</v>
      </c>
      <c r="O32" s="192">
        <f>Inputs!$B$14</f>
        <v>2</v>
      </c>
      <c r="P32" s="171">
        <f>O32*Inputs!$B$15</f>
        <v>53</v>
      </c>
      <c r="Q32" s="171">
        <f>O32*Inputs!$B$16</f>
        <v>25</v>
      </c>
      <c r="R32" s="191">
        <f t="shared" si="2"/>
        <v>28</v>
      </c>
      <c r="S32" s="192">
        <v>0</v>
      </c>
      <c r="T32" s="171">
        <f>C32*Inputs!$B$19</f>
        <v>93460.09063023902</v>
      </c>
      <c r="U32" s="171">
        <f>S32/Inputs!$B$21</f>
        <v>0</v>
      </c>
      <c r="V32" s="171">
        <f>T32/Inputs!$B$21</f>
        <v>5497.65239001406</v>
      </c>
      <c r="W32" s="191">
        <f>U32*Inputs!$B$17</f>
        <v>0</v>
      </c>
      <c r="X32" s="172">
        <f>V32*Inputs!$B$17</f>
        <v>3507502.22482897</v>
      </c>
      <c r="Y32" s="491">
        <f t="shared" si="3"/>
        <v>3734396.3483552905</v>
      </c>
      <c r="AA32" s="497">
        <f>(T32/Inputs!$B$20)*Inputs!$B$18</f>
        <v>7009.506797267927</v>
      </c>
    </row>
    <row r="33" spans="1:27" ht="12">
      <c r="A33" s="188">
        <v>2048</v>
      </c>
      <c r="B33" s="428">
        <v>28</v>
      </c>
      <c r="C33" s="493">
        <f>'Globalplex Cargo Tons'!M44</f>
        <v>1869201.8126047803</v>
      </c>
      <c r="D33" s="189">
        <f>C33/Inputs!$B$21</f>
        <v>109953.0478002812</v>
      </c>
      <c r="E33" s="189">
        <f>(C33-T33)/Inputs!$B$22</f>
        <v>35514.83443949083</v>
      </c>
      <c r="F33" s="189">
        <f>D33*Inputs!$B$26</f>
        <v>329859.1434008436</v>
      </c>
      <c r="G33" s="171">
        <f>E33*Inputs!$B$27</f>
        <v>102993.0198745234</v>
      </c>
      <c r="H33" s="172">
        <f t="shared" si="0"/>
        <v>226866.1235263202</v>
      </c>
      <c r="I33" s="190">
        <f>'Globalplex TEU'!E33</f>
        <v>0</v>
      </c>
      <c r="J33" s="191">
        <f>I33/Inputs!$B$23</f>
        <v>0</v>
      </c>
      <c r="K33" s="191">
        <f>I33/Inputs!$B$24</f>
        <v>0</v>
      </c>
      <c r="L33" s="191">
        <f>J33*Inputs!$B$26</f>
        <v>0</v>
      </c>
      <c r="M33" s="191">
        <f>K33*Inputs!$B$27</f>
        <v>0</v>
      </c>
      <c r="N33" s="172">
        <f t="shared" si="1"/>
        <v>0</v>
      </c>
      <c r="O33" s="192">
        <f>Inputs!$B$14</f>
        <v>2</v>
      </c>
      <c r="P33" s="171">
        <f>O33*Inputs!$B$15</f>
        <v>53</v>
      </c>
      <c r="Q33" s="171">
        <f>O33*Inputs!$B$16</f>
        <v>25</v>
      </c>
      <c r="R33" s="191">
        <f t="shared" si="2"/>
        <v>28</v>
      </c>
      <c r="S33" s="192">
        <v>0</v>
      </c>
      <c r="T33" s="171">
        <f>C33*Inputs!$B$19</f>
        <v>93460.09063023902</v>
      </c>
      <c r="U33" s="171">
        <f>S33/Inputs!$B$21</f>
        <v>0</v>
      </c>
      <c r="V33" s="171">
        <f>T33/Inputs!$B$21</f>
        <v>5497.65239001406</v>
      </c>
      <c r="W33" s="191">
        <f>U33*Inputs!$B$17</f>
        <v>0</v>
      </c>
      <c r="X33" s="172">
        <f>V33*Inputs!$B$17</f>
        <v>3507502.22482897</v>
      </c>
      <c r="Y33" s="491">
        <f t="shared" si="3"/>
        <v>3734396.3483552905</v>
      </c>
      <c r="AA33" s="497">
        <f>(T33/Inputs!$B$20)*Inputs!$B$18</f>
        <v>7009.506797267927</v>
      </c>
    </row>
    <row r="34" spans="1:27" ht="12">
      <c r="A34" s="188">
        <v>2049</v>
      </c>
      <c r="B34" s="428">
        <v>29</v>
      </c>
      <c r="C34" s="493">
        <f>'Globalplex Cargo Tons'!M45</f>
        <v>1869201.8126047803</v>
      </c>
      <c r="D34" s="189">
        <f>C34/Inputs!$B$21</f>
        <v>109953.0478002812</v>
      </c>
      <c r="E34" s="189">
        <f>(C34-T34)/Inputs!$B$22</f>
        <v>35514.83443949083</v>
      </c>
      <c r="F34" s="189">
        <f>D34*Inputs!$B$26</f>
        <v>329859.1434008436</v>
      </c>
      <c r="G34" s="171">
        <f>E34*Inputs!$B$27</f>
        <v>102993.0198745234</v>
      </c>
      <c r="H34" s="172">
        <f t="shared" si="0"/>
        <v>226866.1235263202</v>
      </c>
      <c r="I34" s="190">
        <f>'Globalplex TEU'!E34</f>
        <v>0</v>
      </c>
      <c r="J34" s="191">
        <f>I34/Inputs!$B$23</f>
        <v>0</v>
      </c>
      <c r="K34" s="191">
        <f>I34/Inputs!$B$24</f>
        <v>0</v>
      </c>
      <c r="L34" s="191">
        <f>J34*Inputs!$B$26</f>
        <v>0</v>
      </c>
      <c r="M34" s="191">
        <f>K34*Inputs!$B$27</f>
        <v>0</v>
      </c>
      <c r="N34" s="172">
        <f t="shared" si="1"/>
        <v>0</v>
      </c>
      <c r="O34" s="192">
        <f>Inputs!$B$14</f>
        <v>2</v>
      </c>
      <c r="P34" s="171">
        <f>O34*Inputs!$B$15</f>
        <v>53</v>
      </c>
      <c r="Q34" s="171">
        <f>O34*Inputs!$B$16</f>
        <v>25</v>
      </c>
      <c r="R34" s="191">
        <f t="shared" si="2"/>
        <v>28</v>
      </c>
      <c r="S34" s="192">
        <v>0</v>
      </c>
      <c r="T34" s="171">
        <f>C34*Inputs!$B$19</f>
        <v>93460.09063023902</v>
      </c>
      <c r="U34" s="171">
        <f>S34/Inputs!$B$21</f>
        <v>0</v>
      </c>
      <c r="V34" s="171">
        <f>T34/Inputs!$B$21</f>
        <v>5497.65239001406</v>
      </c>
      <c r="W34" s="191">
        <f>U34*Inputs!$B$17</f>
        <v>0</v>
      </c>
      <c r="X34" s="172">
        <f>V34*Inputs!$B$17</f>
        <v>3507502.22482897</v>
      </c>
      <c r="Y34" s="491">
        <f t="shared" si="3"/>
        <v>3734396.3483552905</v>
      </c>
      <c r="AA34" s="497">
        <f>(T34/Inputs!$B$20)*Inputs!$B$18</f>
        <v>7009.506797267927</v>
      </c>
    </row>
    <row r="35" spans="1:27" ht="12">
      <c r="A35" s="467">
        <v>2050</v>
      </c>
      <c r="B35" s="473">
        <v>30</v>
      </c>
      <c r="C35" s="493">
        <f>'Globalplex Cargo Tons'!M46</f>
        <v>1869201.8126047803</v>
      </c>
      <c r="D35" s="189">
        <f>C35/Inputs!$B$21</f>
        <v>109953.0478002812</v>
      </c>
      <c r="E35" s="189">
        <f>(C35-T35)/Inputs!$B$22</f>
        <v>35514.83443949083</v>
      </c>
      <c r="F35" s="189">
        <f>D35*Inputs!$B$26</f>
        <v>329859.1434008436</v>
      </c>
      <c r="G35" s="171">
        <f>E35*Inputs!$B$27</f>
        <v>102993.0198745234</v>
      </c>
      <c r="H35" s="172">
        <f>F35-G35</f>
        <v>226866.1235263202</v>
      </c>
      <c r="I35" s="190">
        <f>'Globalplex TEU'!E35</f>
        <v>0</v>
      </c>
      <c r="J35" s="191">
        <f>I35/Inputs!$B$23</f>
        <v>0</v>
      </c>
      <c r="K35" s="191">
        <f>I35/Inputs!$B$24</f>
        <v>0</v>
      </c>
      <c r="L35" s="191">
        <f>J35*Inputs!$B$26</f>
        <v>0</v>
      </c>
      <c r="M35" s="191">
        <f>K35*Inputs!$B$27</f>
        <v>0</v>
      </c>
      <c r="N35" s="172">
        <f>L35-M35</f>
        <v>0</v>
      </c>
      <c r="O35" s="192">
        <f>Inputs!$B$14</f>
        <v>2</v>
      </c>
      <c r="P35" s="171">
        <f>O35*Inputs!$B$15</f>
        <v>53</v>
      </c>
      <c r="Q35" s="171">
        <f>O35*Inputs!$B$16</f>
        <v>25</v>
      </c>
      <c r="R35" s="191">
        <f>P35-Q35</f>
        <v>28</v>
      </c>
      <c r="S35" s="192">
        <v>1</v>
      </c>
      <c r="T35" s="171">
        <f>C35*Inputs!$B$19</f>
        <v>93460.09063023902</v>
      </c>
      <c r="U35" s="171">
        <f>S35/Inputs!$B$21</f>
        <v>0.058823529411764705</v>
      </c>
      <c r="V35" s="171">
        <f>T35/Inputs!$B$21</f>
        <v>5497.65239001406</v>
      </c>
      <c r="W35" s="191">
        <f>U35*Inputs!$B$17</f>
        <v>37.529411764705884</v>
      </c>
      <c r="X35" s="172">
        <f>V35*Inputs!$B$17</f>
        <v>3507502.22482897</v>
      </c>
      <c r="Y35" s="491">
        <f>(F35-G35)+(L35-M35)+(P35-Q35)+(X35-W35)</f>
        <v>3734358.8189435257</v>
      </c>
      <c r="AA35" s="497">
        <f>(T35/Inputs!$B$20)*Inputs!$B$18</f>
        <v>7009.506797267927</v>
      </c>
    </row>
    <row r="36" spans="1:27" s="120" customFormat="1" ht="13.5" customHeight="1" thickBot="1">
      <c r="A36" s="616" t="s">
        <v>135</v>
      </c>
      <c r="B36" s="617"/>
      <c r="C36" s="494">
        <f aca="true" t="shared" si="4" ref="C36:X36">SUM(C3:C35)</f>
        <v>60830226.91089409</v>
      </c>
      <c r="D36" s="193">
        <f t="shared" si="4"/>
        <v>3578248.6418172987</v>
      </c>
      <c r="E36" s="193">
        <f t="shared" si="4"/>
        <v>1345102.2409935903</v>
      </c>
      <c r="F36" s="193">
        <f t="shared" si="4"/>
        <v>10734745.925451905</v>
      </c>
      <c r="G36" s="194">
        <f t="shared" si="4"/>
        <v>3928762.2196622975</v>
      </c>
      <c r="H36" s="195">
        <f t="shared" si="4"/>
        <v>6805983.705789604</v>
      </c>
      <c r="I36" s="196">
        <f t="shared" si="4"/>
        <v>412500</v>
      </c>
      <c r="J36" s="194">
        <f t="shared" si="4"/>
        <v>412500</v>
      </c>
      <c r="K36" s="194">
        <f t="shared" si="4"/>
        <v>206250</v>
      </c>
      <c r="L36" s="194">
        <f t="shared" si="4"/>
        <v>1237500</v>
      </c>
      <c r="M36" s="194">
        <f t="shared" si="4"/>
        <v>598125</v>
      </c>
      <c r="N36" s="195">
        <f t="shared" si="4"/>
        <v>639375</v>
      </c>
      <c r="O36" s="196">
        <f t="shared" si="4"/>
        <v>66</v>
      </c>
      <c r="P36" s="194">
        <f t="shared" si="4"/>
        <v>1749</v>
      </c>
      <c r="Q36" s="194">
        <f t="shared" si="4"/>
        <v>909</v>
      </c>
      <c r="R36" s="197">
        <f t="shared" si="4"/>
        <v>840</v>
      </c>
      <c r="S36" s="196">
        <f t="shared" si="4"/>
        <v>1</v>
      </c>
      <c r="T36" s="194">
        <f t="shared" si="4"/>
        <v>2803802.7189071705</v>
      </c>
      <c r="U36" s="194">
        <f t="shared" si="4"/>
        <v>0.058823529411764705</v>
      </c>
      <c r="V36" s="194">
        <f t="shared" si="4"/>
        <v>164929.5717004218</v>
      </c>
      <c r="W36" s="197">
        <f t="shared" si="4"/>
        <v>37.529411764705884</v>
      </c>
      <c r="X36" s="195">
        <f t="shared" si="4"/>
        <v>105225066.74486917</v>
      </c>
      <c r="Y36" s="492">
        <f>SUM(Y3:Y35)</f>
        <v>112671227.921247</v>
      </c>
      <c r="AA36" s="498">
        <f>SUM(AA3:AA35)</f>
        <v>210285.2039180379</v>
      </c>
    </row>
    <row r="37" ht="12.75" thickBot="1"/>
    <row r="38" spans="1:27" ht="12.75" thickBot="1">
      <c r="A38" s="620" t="s">
        <v>64</v>
      </c>
      <c r="B38" s="618" t="s">
        <v>1</v>
      </c>
      <c r="C38" s="614" t="s">
        <v>351</v>
      </c>
      <c r="D38" s="614"/>
      <c r="E38" s="614"/>
      <c r="F38" s="614"/>
      <c r="G38" s="614"/>
      <c r="H38" s="615"/>
      <c r="I38" s="608" t="s">
        <v>252</v>
      </c>
      <c r="J38" s="609"/>
      <c r="K38" s="609"/>
      <c r="L38" s="609"/>
      <c r="M38" s="609"/>
      <c r="N38" s="610"/>
      <c r="O38" s="608" t="s">
        <v>253</v>
      </c>
      <c r="P38" s="609"/>
      <c r="Q38" s="609"/>
      <c r="R38" s="610"/>
      <c r="S38" s="611" t="s">
        <v>352</v>
      </c>
      <c r="T38" s="612"/>
      <c r="U38" s="612"/>
      <c r="V38" s="612"/>
      <c r="W38" s="612"/>
      <c r="X38" s="613"/>
      <c r="Y38" s="179" t="s">
        <v>7</v>
      </c>
      <c r="AA38" s="606" t="s">
        <v>482</v>
      </c>
    </row>
    <row r="39" spans="1:27" ht="72">
      <c r="A39" s="621"/>
      <c r="B39" s="619"/>
      <c r="C39" s="468" t="s">
        <v>266</v>
      </c>
      <c r="D39" s="181" t="s">
        <v>76</v>
      </c>
      <c r="E39" s="181" t="s">
        <v>77</v>
      </c>
      <c r="F39" s="181" t="s">
        <v>78</v>
      </c>
      <c r="G39" s="182" t="s">
        <v>79</v>
      </c>
      <c r="H39" s="183" t="s">
        <v>246</v>
      </c>
      <c r="I39" s="184" t="s">
        <v>242</v>
      </c>
      <c r="J39" s="160" t="s">
        <v>76</v>
      </c>
      <c r="K39" s="160" t="s">
        <v>243</v>
      </c>
      <c r="L39" s="160" t="s">
        <v>78</v>
      </c>
      <c r="M39" s="160" t="s">
        <v>79</v>
      </c>
      <c r="N39" s="183" t="s">
        <v>247</v>
      </c>
      <c r="O39" s="185" t="s">
        <v>248</v>
      </c>
      <c r="P39" s="182" t="s">
        <v>250</v>
      </c>
      <c r="Q39" s="182" t="s">
        <v>79</v>
      </c>
      <c r="R39" s="160" t="s">
        <v>251</v>
      </c>
      <c r="S39" s="185" t="s">
        <v>264</v>
      </c>
      <c r="T39" s="182" t="s">
        <v>265</v>
      </c>
      <c r="U39" s="182" t="s">
        <v>76</v>
      </c>
      <c r="V39" s="182" t="s">
        <v>267</v>
      </c>
      <c r="W39" s="160" t="s">
        <v>78</v>
      </c>
      <c r="X39" s="183" t="s">
        <v>268</v>
      </c>
      <c r="Y39" s="186" t="s">
        <v>80</v>
      </c>
      <c r="Z39" s="187"/>
      <c r="AA39" s="607"/>
    </row>
    <row r="40" spans="1:27" ht="12">
      <c r="A40" s="188">
        <v>2018</v>
      </c>
      <c r="B40" s="428">
        <v>-2</v>
      </c>
      <c r="C40" s="493">
        <f>ROUND(C3,-3)</f>
        <v>1454000</v>
      </c>
      <c r="D40" s="189">
        <f aca="true" t="shared" si="5" ref="D40:AA40">ROUND(D3,-3)</f>
        <v>86000</v>
      </c>
      <c r="E40" s="189">
        <f t="shared" si="5"/>
        <v>86000</v>
      </c>
      <c r="F40" s="189">
        <f t="shared" si="5"/>
        <v>257000</v>
      </c>
      <c r="G40" s="171">
        <f t="shared" si="5"/>
        <v>257000</v>
      </c>
      <c r="H40" s="172">
        <f t="shared" si="5"/>
        <v>0</v>
      </c>
      <c r="I40" s="190">
        <f t="shared" si="5"/>
        <v>0</v>
      </c>
      <c r="J40" s="191">
        <f t="shared" si="5"/>
        <v>0</v>
      </c>
      <c r="K40" s="191">
        <f t="shared" si="5"/>
        <v>0</v>
      </c>
      <c r="L40" s="191">
        <f t="shared" si="5"/>
        <v>0</v>
      </c>
      <c r="M40" s="191">
        <f t="shared" si="5"/>
        <v>0</v>
      </c>
      <c r="N40" s="172">
        <f t="shared" si="5"/>
        <v>0</v>
      </c>
      <c r="O40" s="192">
        <f t="shared" si="5"/>
        <v>0</v>
      </c>
      <c r="P40" s="171">
        <f t="shared" si="5"/>
        <v>0</v>
      </c>
      <c r="Q40" s="171">
        <f t="shared" si="5"/>
        <v>0</v>
      </c>
      <c r="R40" s="191">
        <f t="shared" si="5"/>
        <v>0</v>
      </c>
      <c r="S40" s="192">
        <f t="shared" si="5"/>
        <v>0</v>
      </c>
      <c r="T40" s="171">
        <f t="shared" si="5"/>
        <v>0</v>
      </c>
      <c r="U40" s="171">
        <f t="shared" si="5"/>
        <v>0</v>
      </c>
      <c r="V40" s="171">
        <f t="shared" si="5"/>
        <v>0</v>
      </c>
      <c r="W40" s="191">
        <f t="shared" si="5"/>
        <v>0</v>
      </c>
      <c r="X40" s="172">
        <f t="shared" si="5"/>
        <v>0</v>
      </c>
      <c r="Y40" s="491">
        <f t="shared" si="5"/>
        <v>0</v>
      </c>
      <c r="AA40" s="497">
        <f t="shared" si="5"/>
        <v>0</v>
      </c>
    </row>
    <row r="41" spans="1:27" ht="12">
      <c r="A41" s="188">
        <v>2019</v>
      </c>
      <c r="B41" s="428">
        <v>-1</v>
      </c>
      <c r="C41" s="493">
        <f aca="true" t="shared" si="6" ref="C41:AA41">ROUND(C4,-3)</f>
        <v>1581000</v>
      </c>
      <c r="D41" s="189">
        <f t="shared" si="6"/>
        <v>93000</v>
      </c>
      <c r="E41" s="189">
        <f t="shared" si="6"/>
        <v>93000</v>
      </c>
      <c r="F41" s="189">
        <f t="shared" si="6"/>
        <v>279000</v>
      </c>
      <c r="G41" s="171">
        <f t="shared" si="6"/>
        <v>279000</v>
      </c>
      <c r="H41" s="172">
        <f t="shared" si="6"/>
        <v>0</v>
      </c>
      <c r="I41" s="190">
        <f t="shared" si="6"/>
        <v>0</v>
      </c>
      <c r="J41" s="191">
        <f t="shared" si="6"/>
        <v>0</v>
      </c>
      <c r="K41" s="191">
        <f t="shared" si="6"/>
        <v>0</v>
      </c>
      <c r="L41" s="191">
        <f t="shared" si="6"/>
        <v>0</v>
      </c>
      <c r="M41" s="191">
        <f t="shared" si="6"/>
        <v>0</v>
      </c>
      <c r="N41" s="172">
        <f t="shared" si="6"/>
        <v>0</v>
      </c>
      <c r="O41" s="192">
        <f t="shared" si="6"/>
        <v>0</v>
      </c>
      <c r="P41" s="171">
        <f t="shared" si="6"/>
        <v>0</v>
      </c>
      <c r="Q41" s="171">
        <f t="shared" si="6"/>
        <v>0</v>
      </c>
      <c r="R41" s="191">
        <f t="shared" si="6"/>
        <v>0</v>
      </c>
      <c r="S41" s="192">
        <f t="shared" si="6"/>
        <v>0</v>
      </c>
      <c r="T41" s="171">
        <f t="shared" si="6"/>
        <v>0</v>
      </c>
      <c r="U41" s="171">
        <f t="shared" si="6"/>
        <v>0</v>
      </c>
      <c r="V41" s="171">
        <f t="shared" si="6"/>
        <v>0</v>
      </c>
      <c r="W41" s="191">
        <f t="shared" si="6"/>
        <v>0</v>
      </c>
      <c r="X41" s="172">
        <f t="shared" si="6"/>
        <v>0</v>
      </c>
      <c r="Y41" s="491">
        <f t="shared" si="6"/>
        <v>0</v>
      </c>
      <c r="AA41" s="497">
        <f t="shared" si="6"/>
        <v>0</v>
      </c>
    </row>
    <row r="42" spans="1:27" ht="12">
      <c r="A42" s="188">
        <v>2020</v>
      </c>
      <c r="B42" s="428">
        <v>0</v>
      </c>
      <c r="C42" s="493">
        <f aca="true" t="shared" si="7" ref="C42:AA42">ROUND(C5,-3)</f>
        <v>1719000</v>
      </c>
      <c r="D42" s="189">
        <f t="shared" si="7"/>
        <v>101000</v>
      </c>
      <c r="E42" s="189">
        <f t="shared" si="7"/>
        <v>101000</v>
      </c>
      <c r="F42" s="189">
        <f t="shared" si="7"/>
        <v>303000</v>
      </c>
      <c r="G42" s="171">
        <f t="shared" si="7"/>
        <v>303000</v>
      </c>
      <c r="H42" s="172">
        <f t="shared" si="7"/>
        <v>0</v>
      </c>
      <c r="I42" s="190">
        <f t="shared" si="7"/>
        <v>0</v>
      </c>
      <c r="J42" s="191">
        <f t="shared" si="7"/>
        <v>0</v>
      </c>
      <c r="K42" s="191">
        <f t="shared" si="7"/>
        <v>0</v>
      </c>
      <c r="L42" s="191">
        <f t="shared" si="7"/>
        <v>0</v>
      </c>
      <c r="M42" s="191">
        <f t="shared" si="7"/>
        <v>0</v>
      </c>
      <c r="N42" s="172">
        <f t="shared" si="7"/>
        <v>0</v>
      </c>
      <c r="O42" s="192">
        <f t="shared" si="7"/>
        <v>0</v>
      </c>
      <c r="P42" s="171">
        <f t="shared" si="7"/>
        <v>0</v>
      </c>
      <c r="Q42" s="171">
        <f t="shared" si="7"/>
        <v>0</v>
      </c>
      <c r="R42" s="191">
        <f t="shared" si="7"/>
        <v>0</v>
      </c>
      <c r="S42" s="192">
        <f t="shared" si="7"/>
        <v>0</v>
      </c>
      <c r="T42" s="171">
        <f t="shared" si="7"/>
        <v>0</v>
      </c>
      <c r="U42" s="171">
        <f t="shared" si="7"/>
        <v>0</v>
      </c>
      <c r="V42" s="171">
        <f t="shared" si="7"/>
        <v>0</v>
      </c>
      <c r="W42" s="191">
        <f t="shared" si="7"/>
        <v>0</v>
      </c>
      <c r="X42" s="172">
        <f t="shared" si="7"/>
        <v>0</v>
      </c>
      <c r="Y42" s="491">
        <f t="shared" si="7"/>
        <v>0</v>
      </c>
      <c r="AA42" s="497">
        <f t="shared" si="7"/>
        <v>0</v>
      </c>
    </row>
    <row r="43" spans="1:27" ht="12">
      <c r="A43" s="188">
        <v>2021</v>
      </c>
      <c r="B43" s="428">
        <v>1</v>
      </c>
      <c r="C43" s="493">
        <f aca="true" t="shared" si="8" ref="C43:AA43">ROUND(C6,-3)</f>
        <v>1869000</v>
      </c>
      <c r="D43" s="189">
        <f t="shared" si="8"/>
        <v>110000</v>
      </c>
      <c r="E43" s="189">
        <f t="shared" si="8"/>
        <v>36000</v>
      </c>
      <c r="F43" s="189">
        <f t="shared" si="8"/>
        <v>330000</v>
      </c>
      <c r="G43" s="171">
        <f t="shared" si="8"/>
        <v>103000</v>
      </c>
      <c r="H43" s="172">
        <f t="shared" si="8"/>
        <v>227000</v>
      </c>
      <c r="I43" s="190">
        <f t="shared" si="8"/>
        <v>25000</v>
      </c>
      <c r="J43" s="191">
        <f t="shared" si="8"/>
        <v>25000</v>
      </c>
      <c r="K43" s="191">
        <f t="shared" si="8"/>
        <v>13000</v>
      </c>
      <c r="L43" s="191">
        <f t="shared" si="8"/>
        <v>75000</v>
      </c>
      <c r="M43" s="191">
        <f t="shared" si="8"/>
        <v>36000</v>
      </c>
      <c r="N43" s="172">
        <f t="shared" si="8"/>
        <v>39000</v>
      </c>
      <c r="O43" s="192">
        <f t="shared" si="8"/>
        <v>0</v>
      </c>
      <c r="P43" s="171">
        <f t="shared" si="8"/>
        <v>0</v>
      </c>
      <c r="Q43" s="171">
        <f t="shared" si="8"/>
        <v>0</v>
      </c>
      <c r="R43" s="191">
        <f t="shared" si="8"/>
        <v>0</v>
      </c>
      <c r="S43" s="192">
        <f t="shared" si="8"/>
        <v>0</v>
      </c>
      <c r="T43" s="171">
        <f t="shared" si="8"/>
        <v>93000</v>
      </c>
      <c r="U43" s="171">
        <f t="shared" si="8"/>
        <v>0</v>
      </c>
      <c r="V43" s="171">
        <f t="shared" si="8"/>
        <v>5000</v>
      </c>
      <c r="W43" s="191">
        <f t="shared" si="8"/>
        <v>0</v>
      </c>
      <c r="X43" s="172">
        <f t="shared" si="8"/>
        <v>3508000</v>
      </c>
      <c r="Y43" s="491">
        <f t="shared" si="8"/>
        <v>3773000</v>
      </c>
      <c r="AA43" s="497">
        <f t="shared" si="8"/>
        <v>7000</v>
      </c>
    </row>
    <row r="44" spans="1:27" ht="12">
      <c r="A44" s="188">
        <v>2022</v>
      </c>
      <c r="B44" s="428">
        <v>2</v>
      </c>
      <c r="C44" s="493">
        <f aca="true" t="shared" si="9" ref="C44:AA44">ROUND(C7,-3)</f>
        <v>1869000</v>
      </c>
      <c r="D44" s="189">
        <f t="shared" si="9"/>
        <v>110000</v>
      </c>
      <c r="E44" s="189">
        <f t="shared" si="9"/>
        <v>36000</v>
      </c>
      <c r="F44" s="189">
        <f t="shared" si="9"/>
        <v>330000</v>
      </c>
      <c r="G44" s="171">
        <f t="shared" si="9"/>
        <v>103000</v>
      </c>
      <c r="H44" s="172">
        <f t="shared" si="9"/>
        <v>227000</v>
      </c>
      <c r="I44" s="190">
        <f t="shared" si="9"/>
        <v>44000</v>
      </c>
      <c r="J44" s="191">
        <f t="shared" si="9"/>
        <v>44000</v>
      </c>
      <c r="K44" s="191">
        <f t="shared" si="9"/>
        <v>22000</v>
      </c>
      <c r="L44" s="191">
        <f t="shared" si="9"/>
        <v>131000</v>
      </c>
      <c r="M44" s="191">
        <f t="shared" si="9"/>
        <v>63000</v>
      </c>
      <c r="N44" s="172">
        <f t="shared" si="9"/>
        <v>68000</v>
      </c>
      <c r="O44" s="192">
        <f t="shared" si="9"/>
        <v>0</v>
      </c>
      <c r="P44" s="171">
        <f t="shared" si="9"/>
        <v>0</v>
      </c>
      <c r="Q44" s="171">
        <f t="shared" si="9"/>
        <v>0</v>
      </c>
      <c r="R44" s="191">
        <f t="shared" si="9"/>
        <v>0</v>
      </c>
      <c r="S44" s="192">
        <f t="shared" si="9"/>
        <v>0</v>
      </c>
      <c r="T44" s="171">
        <f t="shared" si="9"/>
        <v>93000</v>
      </c>
      <c r="U44" s="171">
        <f t="shared" si="9"/>
        <v>0</v>
      </c>
      <c r="V44" s="171">
        <f t="shared" si="9"/>
        <v>5000</v>
      </c>
      <c r="W44" s="191">
        <f t="shared" si="9"/>
        <v>0</v>
      </c>
      <c r="X44" s="172">
        <f t="shared" si="9"/>
        <v>3508000</v>
      </c>
      <c r="Y44" s="491">
        <f t="shared" si="9"/>
        <v>3802000</v>
      </c>
      <c r="AA44" s="497">
        <f t="shared" si="9"/>
        <v>7000</v>
      </c>
    </row>
    <row r="45" spans="1:27" ht="12">
      <c r="A45" s="188">
        <v>2023</v>
      </c>
      <c r="B45" s="428">
        <v>3</v>
      </c>
      <c r="C45" s="493">
        <f aca="true" t="shared" si="10" ref="C45:AA45">ROUND(C8,-3)</f>
        <v>1869000</v>
      </c>
      <c r="D45" s="189">
        <f t="shared" si="10"/>
        <v>110000</v>
      </c>
      <c r="E45" s="189">
        <f t="shared" si="10"/>
        <v>36000</v>
      </c>
      <c r="F45" s="189">
        <f t="shared" si="10"/>
        <v>330000</v>
      </c>
      <c r="G45" s="171">
        <f t="shared" si="10"/>
        <v>103000</v>
      </c>
      <c r="H45" s="172">
        <f t="shared" si="10"/>
        <v>227000</v>
      </c>
      <c r="I45" s="190">
        <f t="shared" si="10"/>
        <v>63000</v>
      </c>
      <c r="J45" s="191">
        <f t="shared" si="10"/>
        <v>63000</v>
      </c>
      <c r="K45" s="191">
        <f t="shared" si="10"/>
        <v>31000</v>
      </c>
      <c r="L45" s="191">
        <f t="shared" si="10"/>
        <v>188000</v>
      </c>
      <c r="M45" s="191">
        <f t="shared" si="10"/>
        <v>91000</v>
      </c>
      <c r="N45" s="172">
        <f t="shared" si="10"/>
        <v>97000</v>
      </c>
      <c r="O45" s="192">
        <f t="shared" si="10"/>
        <v>0</v>
      </c>
      <c r="P45" s="171">
        <f t="shared" si="10"/>
        <v>0</v>
      </c>
      <c r="Q45" s="171">
        <f t="shared" si="10"/>
        <v>0</v>
      </c>
      <c r="R45" s="191">
        <f t="shared" si="10"/>
        <v>0</v>
      </c>
      <c r="S45" s="192">
        <f t="shared" si="10"/>
        <v>0</v>
      </c>
      <c r="T45" s="171">
        <f t="shared" si="10"/>
        <v>93000</v>
      </c>
      <c r="U45" s="171">
        <f t="shared" si="10"/>
        <v>0</v>
      </c>
      <c r="V45" s="171">
        <f t="shared" si="10"/>
        <v>5000</v>
      </c>
      <c r="W45" s="191">
        <f t="shared" si="10"/>
        <v>0</v>
      </c>
      <c r="X45" s="172">
        <f t="shared" si="10"/>
        <v>3508000</v>
      </c>
      <c r="Y45" s="491">
        <f t="shared" si="10"/>
        <v>3831000</v>
      </c>
      <c r="AA45" s="497">
        <f t="shared" si="10"/>
        <v>7000</v>
      </c>
    </row>
    <row r="46" spans="1:27" ht="12">
      <c r="A46" s="188">
        <v>2024</v>
      </c>
      <c r="B46" s="428">
        <v>4</v>
      </c>
      <c r="C46" s="493">
        <f aca="true" t="shared" si="11" ref="C46:AA46">ROUND(C9,-3)</f>
        <v>1869000</v>
      </c>
      <c r="D46" s="189">
        <f t="shared" si="11"/>
        <v>110000</v>
      </c>
      <c r="E46" s="189">
        <f t="shared" si="11"/>
        <v>36000</v>
      </c>
      <c r="F46" s="189">
        <f t="shared" si="11"/>
        <v>330000</v>
      </c>
      <c r="G46" s="171">
        <f t="shared" si="11"/>
        <v>103000</v>
      </c>
      <c r="H46" s="172">
        <f t="shared" si="11"/>
        <v>227000</v>
      </c>
      <c r="I46" s="190">
        <f t="shared" si="11"/>
        <v>81000</v>
      </c>
      <c r="J46" s="191">
        <f t="shared" si="11"/>
        <v>81000</v>
      </c>
      <c r="K46" s="191">
        <f t="shared" si="11"/>
        <v>41000</v>
      </c>
      <c r="L46" s="191">
        <f t="shared" si="11"/>
        <v>244000</v>
      </c>
      <c r="M46" s="191">
        <f t="shared" si="11"/>
        <v>118000</v>
      </c>
      <c r="N46" s="172">
        <f t="shared" si="11"/>
        <v>126000</v>
      </c>
      <c r="O46" s="192">
        <f t="shared" si="11"/>
        <v>0</v>
      </c>
      <c r="P46" s="171">
        <f t="shared" si="11"/>
        <v>0</v>
      </c>
      <c r="Q46" s="171">
        <f t="shared" si="11"/>
        <v>0</v>
      </c>
      <c r="R46" s="191">
        <f t="shared" si="11"/>
        <v>0</v>
      </c>
      <c r="S46" s="192">
        <f t="shared" si="11"/>
        <v>0</v>
      </c>
      <c r="T46" s="171">
        <f t="shared" si="11"/>
        <v>93000</v>
      </c>
      <c r="U46" s="171">
        <f t="shared" si="11"/>
        <v>0</v>
      </c>
      <c r="V46" s="171">
        <f t="shared" si="11"/>
        <v>5000</v>
      </c>
      <c r="W46" s="191">
        <f t="shared" si="11"/>
        <v>0</v>
      </c>
      <c r="X46" s="172">
        <f t="shared" si="11"/>
        <v>3508000</v>
      </c>
      <c r="Y46" s="491">
        <f t="shared" si="11"/>
        <v>3860000</v>
      </c>
      <c r="AA46" s="497">
        <f t="shared" si="11"/>
        <v>7000</v>
      </c>
    </row>
    <row r="47" spans="1:27" ht="12">
      <c r="A47" s="188">
        <v>2025</v>
      </c>
      <c r="B47" s="428">
        <v>5</v>
      </c>
      <c r="C47" s="493">
        <f aca="true" t="shared" si="12" ref="C47:AA47">ROUND(C10,-3)</f>
        <v>1869000</v>
      </c>
      <c r="D47" s="189">
        <f t="shared" si="12"/>
        <v>110000</v>
      </c>
      <c r="E47" s="189">
        <f t="shared" si="12"/>
        <v>36000</v>
      </c>
      <c r="F47" s="189">
        <f t="shared" si="12"/>
        <v>330000</v>
      </c>
      <c r="G47" s="171">
        <f t="shared" si="12"/>
        <v>103000</v>
      </c>
      <c r="H47" s="172">
        <f t="shared" si="12"/>
        <v>227000</v>
      </c>
      <c r="I47" s="190">
        <f t="shared" si="12"/>
        <v>100000</v>
      </c>
      <c r="J47" s="191">
        <f t="shared" si="12"/>
        <v>100000</v>
      </c>
      <c r="K47" s="191">
        <f t="shared" si="12"/>
        <v>50000</v>
      </c>
      <c r="L47" s="191">
        <f t="shared" si="12"/>
        <v>300000</v>
      </c>
      <c r="M47" s="191">
        <f t="shared" si="12"/>
        <v>145000</v>
      </c>
      <c r="N47" s="172">
        <f t="shared" si="12"/>
        <v>155000</v>
      </c>
      <c r="O47" s="192">
        <f t="shared" si="12"/>
        <v>0</v>
      </c>
      <c r="P47" s="171">
        <f t="shared" si="12"/>
        <v>0</v>
      </c>
      <c r="Q47" s="171">
        <f t="shared" si="12"/>
        <v>0</v>
      </c>
      <c r="R47" s="191">
        <f t="shared" si="12"/>
        <v>0</v>
      </c>
      <c r="S47" s="192">
        <f t="shared" si="12"/>
        <v>0</v>
      </c>
      <c r="T47" s="171">
        <f t="shared" si="12"/>
        <v>93000</v>
      </c>
      <c r="U47" s="171">
        <f t="shared" si="12"/>
        <v>0</v>
      </c>
      <c r="V47" s="171">
        <f t="shared" si="12"/>
        <v>5000</v>
      </c>
      <c r="W47" s="191">
        <f t="shared" si="12"/>
        <v>0</v>
      </c>
      <c r="X47" s="172">
        <f t="shared" si="12"/>
        <v>3508000</v>
      </c>
      <c r="Y47" s="491">
        <f t="shared" si="12"/>
        <v>3889000</v>
      </c>
      <c r="AA47" s="497">
        <f t="shared" si="12"/>
        <v>7000</v>
      </c>
    </row>
    <row r="48" spans="1:27" ht="12">
      <c r="A48" s="188">
        <v>2026</v>
      </c>
      <c r="B48" s="428">
        <v>6</v>
      </c>
      <c r="C48" s="493">
        <f aca="true" t="shared" si="13" ref="C48:AA48">ROUND(C11,-3)</f>
        <v>1869000</v>
      </c>
      <c r="D48" s="189">
        <f t="shared" si="13"/>
        <v>110000</v>
      </c>
      <c r="E48" s="189">
        <f t="shared" si="13"/>
        <v>36000</v>
      </c>
      <c r="F48" s="189">
        <f t="shared" si="13"/>
        <v>330000</v>
      </c>
      <c r="G48" s="171">
        <f t="shared" si="13"/>
        <v>103000</v>
      </c>
      <c r="H48" s="172">
        <f t="shared" si="13"/>
        <v>227000</v>
      </c>
      <c r="I48" s="190">
        <f t="shared" si="13"/>
        <v>100000</v>
      </c>
      <c r="J48" s="191">
        <f t="shared" si="13"/>
        <v>100000</v>
      </c>
      <c r="K48" s="191">
        <f t="shared" si="13"/>
        <v>50000</v>
      </c>
      <c r="L48" s="191">
        <f t="shared" si="13"/>
        <v>300000</v>
      </c>
      <c r="M48" s="191">
        <f t="shared" si="13"/>
        <v>145000</v>
      </c>
      <c r="N48" s="172">
        <f t="shared" si="13"/>
        <v>155000</v>
      </c>
      <c r="O48" s="192">
        <f t="shared" si="13"/>
        <v>0</v>
      </c>
      <c r="P48" s="171">
        <f t="shared" si="13"/>
        <v>0</v>
      </c>
      <c r="Q48" s="171">
        <f t="shared" si="13"/>
        <v>0</v>
      </c>
      <c r="R48" s="191">
        <f t="shared" si="13"/>
        <v>0</v>
      </c>
      <c r="S48" s="192">
        <f t="shared" si="13"/>
        <v>0</v>
      </c>
      <c r="T48" s="171">
        <f t="shared" si="13"/>
        <v>93000</v>
      </c>
      <c r="U48" s="171">
        <f t="shared" si="13"/>
        <v>0</v>
      </c>
      <c r="V48" s="171">
        <f t="shared" si="13"/>
        <v>5000</v>
      </c>
      <c r="W48" s="191">
        <f t="shared" si="13"/>
        <v>0</v>
      </c>
      <c r="X48" s="172">
        <f t="shared" si="13"/>
        <v>3508000</v>
      </c>
      <c r="Y48" s="491">
        <f t="shared" si="13"/>
        <v>3889000</v>
      </c>
      <c r="AA48" s="497">
        <f t="shared" si="13"/>
        <v>7000</v>
      </c>
    </row>
    <row r="49" spans="1:27" ht="12">
      <c r="A49" s="188">
        <v>2027</v>
      </c>
      <c r="B49" s="428">
        <v>7</v>
      </c>
      <c r="C49" s="493">
        <f aca="true" t="shared" si="14" ref="C49:AA49">ROUND(C12,-3)</f>
        <v>1869000</v>
      </c>
      <c r="D49" s="189">
        <f t="shared" si="14"/>
        <v>110000</v>
      </c>
      <c r="E49" s="189">
        <f t="shared" si="14"/>
        <v>36000</v>
      </c>
      <c r="F49" s="189">
        <f t="shared" si="14"/>
        <v>330000</v>
      </c>
      <c r="G49" s="171">
        <f t="shared" si="14"/>
        <v>103000</v>
      </c>
      <c r="H49" s="172">
        <f t="shared" si="14"/>
        <v>227000</v>
      </c>
      <c r="I49" s="190">
        <f t="shared" si="14"/>
        <v>0</v>
      </c>
      <c r="J49" s="191">
        <f t="shared" si="14"/>
        <v>0</v>
      </c>
      <c r="K49" s="191">
        <f t="shared" si="14"/>
        <v>0</v>
      </c>
      <c r="L49" s="191">
        <f t="shared" si="14"/>
        <v>0</v>
      </c>
      <c r="M49" s="191">
        <f t="shared" si="14"/>
        <v>0</v>
      </c>
      <c r="N49" s="172">
        <f t="shared" si="14"/>
        <v>0</v>
      </c>
      <c r="O49" s="192">
        <f t="shared" si="14"/>
        <v>0</v>
      </c>
      <c r="P49" s="171">
        <f t="shared" si="14"/>
        <v>0</v>
      </c>
      <c r="Q49" s="171">
        <f t="shared" si="14"/>
        <v>0</v>
      </c>
      <c r="R49" s="191">
        <f t="shared" si="14"/>
        <v>0</v>
      </c>
      <c r="S49" s="192">
        <f t="shared" si="14"/>
        <v>0</v>
      </c>
      <c r="T49" s="171">
        <f t="shared" si="14"/>
        <v>93000</v>
      </c>
      <c r="U49" s="171">
        <f t="shared" si="14"/>
        <v>0</v>
      </c>
      <c r="V49" s="171">
        <f t="shared" si="14"/>
        <v>5000</v>
      </c>
      <c r="W49" s="191">
        <f t="shared" si="14"/>
        <v>0</v>
      </c>
      <c r="X49" s="172">
        <f t="shared" si="14"/>
        <v>3508000</v>
      </c>
      <c r="Y49" s="491">
        <f t="shared" si="14"/>
        <v>3734000</v>
      </c>
      <c r="AA49" s="497">
        <f t="shared" si="14"/>
        <v>7000</v>
      </c>
    </row>
    <row r="50" spans="1:27" ht="12">
      <c r="A50" s="188">
        <v>2028</v>
      </c>
      <c r="B50" s="428">
        <v>8</v>
      </c>
      <c r="C50" s="493">
        <f aca="true" t="shared" si="15" ref="C50:AA50">ROUND(C13,-3)</f>
        <v>1869000</v>
      </c>
      <c r="D50" s="189">
        <f t="shared" si="15"/>
        <v>110000</v>
      </c>
      <c r="E50" s="189">
        <f t="shared" si="15"/>
        <v>36000</v>
      </c>
      <c r="F50" s="189">
        <f t="shared" si="15"/>
        <v>330000</v>
      </c>
      <c r="G50" s="171">
        <f t="shared" si="15"/>
        <v>103000</v>
      </c>
      <c r="H50" s="172">
        <f t="shared" si="15"/>
        <v>227000</v>
      </c>
      <c r="I50" s="190">
        <f t="shared" si="15"/>
        <v>0</v>
      </c>
      <c r="J50" s="191">
        <f t="shared" si="15"/>
        <v>0</v>
      </c>
      <c r="K50" s="191">
        <f t="shared" si="15"/>
        <v>0</v>
      </c>
      <c r="L50" s="191">
        <f t="shared" si="15"/>
        <v>0</v>
      </c>
      <c r="M50" s="191">
        <f t="shared" si="15"/>
        <v>0</v>
      </c>
      <c r="N50" s="172">
        <f t="shared" si="15"/>
        <v>0</v>
      </c>
      <c r="O50" s="192">
        <f t="shared" si="15"/>
        <v>0</v>
      </c>
      <c r="P50" s="171">
        <f t="shared" si="15"/>
        <v>0</v>
      </c>
      <c r="Q50" s="171">
        <f t="shared" si="15"/>
        <v>0</v>
      </c>
      <c r="R50" s="191">
        <f t="shared" si="15"/>
        <v>0</v>
      </c>
      <c r="S50" s="192">
        <f t="shared" si="15"/>
        <v>0</v>
      </c>
      <c r="T50" s="171">
        <f t="shared" si="15"/>
        <v>93000</v>
      </c>
      <c r="U50" s="171">
        <f t="shared" si="15"/>
        <v>0</v>
      </c>
      <c r="V50" s="171">
        <f t="shared" si="15"/>
        <v>5000</v>
      </c>
      <c r="W50" s="191">
        <f t="shared" si="15"/>
        <v>0</v>
      </c>
      <c r="X50" s="172">
        <f t="shared" si="15"/>
        <v>3508000</v>
      </c>
      <c r="Y50" s="491">
        <f t="shared" si="15"/>
        <v>3734000</v>
      </c>
      <c r="AA50" s="497">
        <f t="shared" si="15"/>
        <v>7000</v>
      </c>
    </row>
    <row r="51" spans="1:27" ht="12">
      <c r="A51" s="188">
        <v>2029</v>
      </c>
      <c r="B51" s="428">
        <v>9</v>
      </c>
      <c r="C51" s="493">
        <f aca="true" t="shared" si="16" ref="C51:AA51">ROUND(C14,-3)</f>
        <v>1869000</v>
      </c>
      <c r="D51" s="189">
        <f t="shared" si="16"/>
        <v>110000</v>
      </c>
      <c r="E51" s="189">
        <f t="shared" si="16"/>
        <v>36000</v>
      </c>
      <c r="F51" s="189">
        <f t="shared" si="16"/>
        <v>330000</v>
      </c>
      <c r="G51" s="171">
        <f t="shared" si="16"/>
        <v>103000</v>
      </c>
      <c r="H51" s="172">
        <f t="shared" si="16"/>
        <v>227000</v>
      </c>
      <c r="I51" s="190">
        <f t="shared" si="16"/>
        <v>0</v>
      </c>
      <c r="J51" s="191">
        <f t="shared" si="16"/>
        <v>0</v>
      </c>
      <c r="K51" s="191">
        <f t="shared" si="16"/>
        <v>0</v>
      </c>
      <c r="L51" s="191">
        <f t="shared" si="16"/>
        <v>0</v>
      </c>
      <c r="M51" s="191">
        <f t="shared" si="16"/>
        <v>0</v>
      </c>
      <c r="N51" s="172">
        <f t="shared" si="16"/>
        <v>0</v>
      </c>
      <c r="O51" s="192">
        <f t="shared" si="16"/>
        <v>0</v>
      </c>
      <c r="P51" s="171">
        <f t="shared" si="16"/>
        <v>0</v>
      </c>
      <c r="Q51" s="171">
        <f t="shared" si="16"/>
        <v>0</v>
      </c>
      <c r="R51" s="191">
        <f t="shared" si="16"/>
        <v>0</v>
      </c>
      <c r="S51" s="192">
        <f t="shared" si="16"/>
        <v>0</v>
      </c>
      <c r="T51" s="171">
        <f t="shared" si="16"/>
        <v>93000</v>
      </c>
      <c r="U51" s="171">
        <f t="shared" si="16"/>
        <v>0</v>
      </c>
      <c r="V51" s="171">
        <f t="shared" si="16"/>
        <v>5000</v>
      </c>
      <c r="W51" s="191">
        <f t="shared" si="16"/>
        <v>0</v>
      </c>
      <c r="X51" s="172">
        <f t="shared" si="16"/>
        <v>3508000</v>
      </c>
      <c r="Y51" s="491">
        <f t="shared" si="16"/>
        <v>3734000</v>
      </c>
      <c r="AA51" s="497">
        <f t="shared" si="16"/>
        <v>7000</v>
      </c>
    </row>
    <row r="52" spans="1:27" ht="12">
      <c r="A52" s="188">
        <v>2030</v>
      </c>
      <c r="B52" s="428">
        <v>10</v>
      </c>
      <c r="C52" s="493">
        <f aca="true" t="shared" si="17" ref="C52:AA52">ROUND(C15,-3)</f>
        <v>1869000</v>
      </c>
      <c r="D52" s="189">
        <f t="shared" si="17"/>
        <v>110000</v>
      </c>
      <c r="E52" s="189">
        <f t="shared" si="17"/>
        <v>36000</v>
      </c>
      <c r="F52" s="189">
        <f t="shared" si="17"/>
        <v>330000</v>
      </c>
      <c r="G52" s="171">
        <f t="shared" si="17"/>
        <v>103000</v>
      </c>
      <c r="H52" s="172">
        <f t="shared" si="17"/>
        <v>227000</v>
      </c>
      <c r="I52" s="190">
        <f t="shared" si="17"/>
        <v>0</v>
      </c>
      <c r="J52" s="191">
        <f t="shared" si="17"/>
        <v>0</v>
      </c>
      <c r="K52" s="191">
        <f t="shared" si="17"/>
        <v>0</v>
      </c>
      <c r="L52" s="191">
        <f t="shared" si="17"/>
        <v>0</v>
      </c>
      <c r="M52" s="191">
        <f t="shared" si="17"/>
        <v>0</v>
      </c>
      <c r="N52" s="172">
        <f t="shared" si="17"/>
        <v>0</v>
      </c>
      <c r="O52" s="192">
        <f t="shared" si="17"/>
        <v>0</v>
      </c>
      <c r="P52" s="171">
        <f t="shared" si="17"/>
        <v>0</v>
      </c>
      <c r="Q52" s="171">
        <f t="shared" si="17"/>
        <v>0</v>
      </c>
      <c r="R52" s="191">
        <f t="shared" si="17"/>
        <v>0</v>
      </c>
      <c r="S52" s="192">
        <f t="shared" si="17"/>
        <v>0</v>
      </c>
      <c r="T52" s="171">
        <f t="shared" si="17"/>
        <v>93000</v>
      </c>
      <c r="U52" s="171">
        <f t="shared" si="17"/>
        <v>0</v>
      </c>
      <c r="V52" s="171">
        <f t="shared" si="17"/>
        <v>5000</v>
      </c>
      <c r="W52" s="191">
        <f t="shared" si="17"/>
        <v>0</v>
      </c>
      <c r="X52" s="172">
        <f t="shared" si="17"/>
        <v>3508000</v>
      </c>
      <c r="Y52" s="491">
        <f t="shared" si="17"/>
        <v>3734000</v>
      </c>
      <c r="AA52" s="497">
        <f t="shared" si="17"/>
        <v>7000</v>
      </c>
    </row>
    <row r="53" spans="1:27" ht="12">
      <c r="A53" s="188">
        <v>2031</v>
      </c>
      <c r="B53" s="428">
        <v>11</v>
      </c>
      <c r="C53" s="493">
        <f aca="true" t="shared" si="18" ref="C53:AA53">ROUND(C16,-3)</f>
        <v>1869000</v>
      </c>
      <c r="D53" s="189">
        <f t="shared" si="18"/>
        <v>110000</v>
      </c>
      <c r="E53" s="189">
        <f t="shared" si="18"/>
        <v>36000</v>
      </c>
      <c r="F53" s="189">
        <f t="shared" si="18"/>
        <v>330000</v>
      </c>
      <c r="G53" s="171">
        <f t="shared" si="18"/>
        <v>103000</v>
      </c>
      <c r="H53" s="172">
        <f t="shared" si="18"/>
        <v>227000</v>
      </c>
      <c r="I53" s="190">
        <f t="shared" si="18"/>
        <v>0</v>
      </c>
      <c r="J53" s="191">
        <f t="shared" si="18"/>
        <v>0</v>
      </c>
      <c r="K53" s="191">
        <f t="shared" si="18"/>
        <v>0</v>
      </c>
      <c r="L53" s="191">
        <f t="shared" si="18"/>
        <v>0</v>
      </c>
      <c r="M53" s="191">
        <f t="shared" si="18"/>
        <v>0</v>
      </c>
      <c r="N53" s="172">
        <f t="shared" si="18"/>
        <v>0</v>
      </c>
      <c r="O53" s="192">
        <f t="shared" si="18"/>
        <v>0</v>
      </c>
      <c r="P53" s="171">
        <f t="shared" si="18"/>
        <v>0</v>
      </c>
      <c r="Q53" s="171">
        <f t="shared" si="18"/>
        <v>0</v>
      </c>
      <c r="R53" s="191">
        <f t="shared" si="18"/>
        <v>0</v>
      </c>
      <c r="S53" s="192">
        <f t="shared" si="18"/>
        <v>0</v>
      </c>
      <c r="T53" s="171">
        <f t="shared" si="18"/>
        <v>93000</v>
      </c>
      <c r="U53" s="171">
        <f t="shared" si="18"/>
        <v>0</v>
      </c>
      <c r="V53" s="171">
        <f t="shared" si="18"/>
        <v>5000</v>
      </c>
      <c r="W53" s="191">
        <f t="shared" si="18"/>
        <v>0</v>
      </c>
      <c r="X53" s="172">
        <f t="shared" si="18"/>
        <v>3508000</v>
      </c>
      <c r="Y53" s="491">
        <f t="shared" si="18"/>
        <v>3734000</v>
      </c>
      <c r="AA53" s="497">
        <f t="shared" si="18"/>
        <v>7000</v>
      </c>
    </row>
    <row r="54" spans="1:27" ht="12">
      <c r="A54" s="188">
        <v>2032</v>
      </c>
      <c r="B54" s="428">
        <v>12</v>
      </c>
      <c r="C54" s="493">
        <f aca="true" t="shared" si="19" ref="C54:AA54">ROUND(C17,-3)</f>
        <v>1869000</v>
      </c>
      <c r="D54" s="189">
        <f t="shared" si="19"/>
        <v>110000</v>
      </c>
      <c r="E54" s="189">
        <f t="shared" si="19"/>
        <v>36000</v>
      </c>
      <c r="F54" s="189">
        <f t="shared" si="19"/>
        <v>330000</v>
      </c>
      <c r="G54" s="171">
        <f t="shared" si="19"/>
        <v>103000</v>
      </c>
      <c r="H54" s="172">
        <f t="shared" si="19"/>
        <v>227000</v>
      </c>
      <c r="I54" s="190">
        <f t="shared" si="19"/>
        <v>0</v>
      </c>
      <c r="J54" s="191">
        <f t="shared" si="19"/>
        <v>0</v>
      </c>
      <c r="K54" s="191">
        <f t="shared" si="19"/>
        <v>0</v>
      </c>
      <c r="L54" s="191">
        <f t="shared" si="19"/>
        <v>0</v>
      </c>
      <c r="M54" s="191">
        <f t="shared" si="19"/>
        <v>0</v>
      </c>
      <c r="N54" s="172">
        <f t="shared" si="19"/>
        <v>0</v>
      </c>
      <c r="O54" s="192">
        <f t="shared" si="19"/>
        <v>0</v>
      </c>
      <c r="P54" s="171">
        <f t="shared" si="19"/>
        <v>0</v>
      </c>
      <c r="Q54" s="171">
        <f t="shared" si="19"/>
        <v>0</v>
      </c>
      <c r="R54" s="191">
        <f t="shared" si="19"/>
        <v>0</v>
      </c>
      <c r="S54" s="192">
        <f t="shared" si="19"/>
        <v>0</v>
      </c>
      <c r="T54" s="171">
        <f t="shared" si="19"/>
        <v>93000</v>
      </c>
      <c r="U54" s="171">
        <f t="shared" si="19"/>
        <v>0</v>
      </c>
      <c r="V54" s="171">
        <f t="shared" si="19"/>
        <v>5000</v>
      </c>
      <c r="W54" s="191">
        <f t="shared" si="19"/>
        <v>0</v>
      </c>
      <c r="X54" s="172">
        <f t="shared" si="19"/>
        <v>3508000</v>
      </c>
      <c r="Y54" s="491">
        <f t="shared" si="19"/>
        <v>3734000</v>
      </c>
      <c r="AA54" s="497">
        <f t="shared" si="19"/>
        <v>7000</v>
      </c>
    </row>
    <row r="55" spans="1:27" ht="12">
      <c r="A55" s="188">
        <v>2033</v>
      </c>
      <c r="B55" s="428">
        <v>13</v>
      </c>
      <c r="C55" s="493">
        <f aca="true" t="shared" si="20" ref="C55:AA55">ROUND(C18,-3)</f>
        <v>1869000</v>
      </c>
      <c r="D55" s="189">
        <f t="shared" si="20"/>
        <v>110000</v>
      </c>
      <c r="E55" s="189">
        <f t="shared" si="20"/>
        <v>36000</v>
      </c>
      <c r="F55" s="189">
        <f t="shared" si="20"/>
        <v>330000</v>
      </c>
      <c r="G55" s="171">
        <f t="shared" si="20"/>
        <v>103000</v>
      </c>
      <c r="H55" s="172">
        <f t="shared" si="20"/>
        <v>227000</v>
      </c>
      <c r="I55" s="190">
        <f t="shared" si="20"/>
        <v>0</v>
      </c>
      <c r="J55" s="191">
        <f t="shared" si="20"/>
        <v>0</v>
      </c>
      <c r="K55" s="191">
        <f t="shared" si="20"/>
        <v>0</v>
      </c>
      <c r="L55" s="191">
        <f t="shared" si="20"/>
        <v>0</v>
      </c>
      <c r="M55" s="191">
        <f t="shared" si="20"/>
        <v>0</v>
      </c>
      <c r="N55" s="172">
        <f t="shared" si="20"/>
        <v>0</v>
      </c>
      <c r="O55" s="192">
        <f t="shared" si="20"/>
        <v>0</v>
      </c>
      <c r="P55" s="171">
        <f t="shared" si="20"/>
        <v>0</v>
      </c>
      <c r="Q55" s="171">
        <f t="shared" si="20"/>
        <v>0</v>
      </c>
      <c r="R55" s="191">
        <f t="shared" si="20"/>
        <v>0</v>
      </c>
      <c r="S55" s="192">
        <f t="shared" si="20"/>
        <v>0</v>
      </c>
      <c r="T55" s="171">
        <f t="shared" si="20"/>
        <v>93000</v>
      </c>
      <c r="U55" s="171">
        <f t="shared" si="20"/>
        <v>0</v>
      </c>
      <c r="V55" s="171">
        <f t="shared" si="20"/>
        <v>5000</v>
      </c>
      <c r="W55" s="191">
        <f t="shared" si="20"/>
        <v>0</v>
      </c>
      <c r="X55" s="172">
        <f t="shared" si="20"/>
        <v>3508000</v>
      </c>
      <c r="Y55" s="491">
        <f t="shared" si="20"/>
        <v>3734000</v>
      </c>
      <c r="AA55" s="497">
        <f t="shared" si="20"/>
        <v>7000</v>
      </c>
    </row>
    <row r="56" spans="1:27" ht="12">
      <c r="A56" s="188">
        <v>2034</v>
      </c>
      <c r="B56" s="428">
        <v>14</v>
      </c>
      <c r="C56" s="493">
        <f aca="true" t="shared" si="21" ref="C56:AA56">ROUND(C19,-3)</f>
        <v>1869000</v>
      </c>
      <c r="D56" s="189">
        <f t="shared" si="21"/>
        <v>110000</v>
      </c>
      <c r="E56" s="189">
        <f t="shared" si="21"/>
        <v>36000</v>
      </c>
      <c r="F56" s="189">
        <f t="shared" si="21"/>
        <v>330000</v>
      </c>
      <c r="G56" s="171">
        <f t="shared" si="21"/>
        <v>103000</v>
      </c>
      <c r="H56" s="172">
        <f t="shared" si="21"/>
        <v>227000</v>
      </c>
      <c r="I56" s="190">
        <f t="shared" si="21"/>
        <v>0</v>
      </c>
      <c r="J56" s="191">
        <f t="shared" si="21"/>
        <v>0</v>
      </c>
      <c r="K56" s="191">
        <f t="shared" si="21"/>
        <v>0</v>
      </c>
      <c r="L56" s="191">
        <f t="shared" si="21"/>
        <v>0</v>
      </c>
      <c r="M56" s="191">
        <f t="shared" si="21"/>
        <v>0</v>
      </c>
      <c r="N56" s="172">
        <f t="shared" si="21"/>
        <v>0</v>
      </c>
      <c r="O56" s="192">
        <f t="shared" si="21"/>
        <v>0</v>
      </c>
      <c r="P56" s="171">
        <f t="shared" si="21"/>
        <v>0</v>
      </c>
      <c r="Q56" s="171">
        <f t="shared" si="21"/>
        <v>0</v>
      </c>
      <c r="R56" s="191">
        <f t="shared" si="21"/>
        <v>0</v>
      </c>
      <c r="S56" s="192">
        <f t="shared" si="21"/>
        <v>0</v>
      </c>
      <c r="T56" s="171">
        <f t="shared" si="21"/>
        <v>93000</v>
      </c>
      <c r="U56" s="171">
        <f t="shared" si="21"/>
        <v>0</v>
      </c>
      <c r="V56" s="171">
        <f t="shared" si="21"/>
        <v>5000</v>
      </c>
      <c r="W56" s="191">
        <f t="shared" si="21"/>
        <v>0</v>
      </c>
      <c r="X56" s="172">
        <f t="shared" si="21"/>
        <v>3508000</v>
      </c>
      <c r="Y56" s="491">
        <f t="shared" si="21"/>
        <v>3734000</v>
      </c>
      <c r="AA56" s="497">
        <f t="shared" si="21"/>
        <v>7000</v>
      </c>
    </row>
    <row r="57" spans="1:27" ht="12">
      <c r="A57" s="188">
        <v>2035</v>
      </c>
      <c r="B57" s="428">
        <v>15</v>
      </c>
      <c r="C57" s="493">
        <f aca="true" t="shared" si="22" ref="C57:AA57">ROUND(C20,-3)</f>
        <v>1869000</v>
      </c>
      <c r="D57" s="189">
        <f t="shared" si="22"/>
        <v>110000</v>
      </c>
      <c r="E57" s="189">
        <f t="shared" si="22"/>
        <v>36000</v>
      </c>
      <c r="F57" s="189">
        <f t="shared" si="22"/>
        <v>330000</v>
      </c>
      <c r="G57" s="171">
        <f t="shared" si="22"/>
        <v>103000</v>
      </c>
      <c r="H57" s="172">
        <f t="shared" si="22"/>
        <v>227000</v>
      </c>
      <c r="I57" s="190">
        <f t="shared" si="22"/>
        <v>0</v>
      </c>
      <c r="J57" s="191">
        <f t="shared" si="22"/>
        <v>0</v>
      </c>
      <c r="K57" s="191">
        <f t="shared" si="22"/>
        <v>0</v>
      </c>
      <c r="L57" s="191">
        <f t="shared" si="22"/>
        <v>0</v>
      </c>
      <c r="M57" s="191">
        <f t="shared" si="22"/>
        <v>0</v>
      </c>
      <c r="N57" s="172">
        <f t="shared" si="22"/>
        <v>0</v>
      </c>
      <c r="O57" s="192">
        <f t="shared" si="22"/>
        <v>0</v>
      </c>
      <c r="P57" s="171">
        <f t="shared" si="22"/>
        <v>0</v>
      </c>
      <c r="Q57" s="171">
        <f t="shared" si="22"/>
        <v>0</v>
      </c>
      <c r="R57" s="191">
        <f t="shared" si="22"/>
        <v>0</v>
      </c>
      <c r="S57" s="192">
        <f t="shared" si="22"/>
        <v>0</v>
      </c>
      <c r="T57" s="171">
        <f t="shared" si="22"/>
        <v>93000</v>
      </c>
      <c r="U57" s="171">
        <f t="shared" si="22"/>
        <v>0</v>
      </c>
      <c r="V57" s="171">
        <f t="shared" si="22"/>
        <v>5000</v>
      </c>
      <c r="W57" s="191">
        <f t="shared" si="22"/>
        <v>0</v>
      </c>
      <c r="X57" s="172">
        <f t="shared" si="22"/>
        <v>3508000</v>
      </c>
      <c r="Y57" s="491">
        <f t="shared" si="22"/>
        <v>3734000</v>
      </c>
      <c r="AA57" s="497">
        <f t="shared" si="22"/>
        <v>7000</v>
      </c>
    </row>
    <row r="58" spans="1:27" ht="12">
      <c r="A58" s="188">
        <v>2036</v>
      </c>
      <c r="B58" s="428">
        <v>16</v>
      </c>
      <c r="C58" s="493">
        <f aca="true" t="shared" si="23" ref="C58:AA58">ROUND(C21,-3)</f>
        <v>1869000</v>
      </c>
      <c r="D58" s="189">
        <f t="shared" si="23"/>
        <v>110000</v>
      </c>
      <c r="E58" s="189">
        <f t="shared" si="23"/>
        <v>36000</v>
      </c>
      <c r="F58" s="189">
        <f t="shared" si="23"/>
        <v>330000</v>
      </c>
      <c r="G58" s="171">
        <f t="shared" si="23"/>
        <v>103000</v>
      </c>
      <c r="H58" s="172">
        <f t="shared" si="23"/>
        <v>227000</v>
      </c>
      <c r="I58" s="190">
        <f t="shared" si="23"/>
        <v>0</v>
      </c>
      <c r="J58" s="191">
        <f t="shared" si="23"/>
        <v>0</v>
      </c>
      <c r="K58" s="191">
        <f t="shared" si="23"/>
        <v>0</v>
      </c>
      <c r="L58" s="191">
        <f t="shared" si="23"/>
        <v>0</v>
      </c>
      <c r="M58" s="191">
        <f t="shared" si="23"/>
        <v>0</v>
      </c>
      <c r="N58" s="172">
        <f t="shared" si="23"/>
        <v>0</v>
      </c>
      <c r="O58" s="192">
        <f t="shared" si="23"/>
        <v>0</v>
      </c>
      <c r="P58" s="171">
        <f t="shared" si="23"/>
        <v>0</v>
      </c>
      <c r="Q58" s="171">
        <f t="shared" si="23"/>
        <v>0</v>
      </c>
      <c r="R58" s="191">
        <f t="shared" si="23"/>
        <v>0</v>
      </c>
      <c r="S58" s="192">
        <f t="shared" si="23"/>
        <v>0</v>
      </c>
      <c r="T58" s="171">
        <f t="shared" si="23"/>
        <v>93000</v>
      </c>
      <c r="U58" s="171">
        <f t="shared" si="23"/>
        <v>0</v>
      </c>
      <c r="V58" s="171">
        <f t="shared" si="23"/>
        <v>5000</v>
      </c>
      <c r="W58" s="191">
        <f t="shared" si="23"/>
        <v>0</v>
      </c>
      <c r="X58" s="172">
        <f t="shared" si="23"/>
        <v>3508000</v>
      </c>
      <c r="Y58" s="491">
        <f t="shared" si="23"/>
        <v>3734000</v>
      </c>
      <c r="AA58" s="497">
        <f t="shared" si="23"/>
        <v>7000</v>
      </c>
    </row>
    <row r="59" spans="1:27" ht="12">
      <c r="A59" s="188">
        <v>2037</v>
      </c>
      <c r="B59" s="428">
        <v>17</v>
      </c>
      <c r="C59" s="493">
        <f aca="true" t="shared" si="24" ref="C59:AA59">ROUND(C22,-3)</f>
        <v>1869000</v>
      </c>
      <c r="D59" s="189">
        <f t="shared" si="24"/>
        <v>110000</v>
      </c>
      <c r="E59" s="189">
        <f t="shared" si="24"/>
        <v>36000</v>
      </c>
      <c r="F59" s="189">
        <f t="shared" si="24"/>
        <v>330000</v>
      </c>
      <c r="G59" s="171">
        <f t="shared" si="24"/>
        <v>103000</v>
      </c>
      <c r="H59" s="172">
        <f t="shared" si="24"/>
        <v>227000</v>
      </c>
      <c r="I59" s="190">
        <f t="shared" si="24"/>
        <v>0</v>
      </c>
      <c r="J59" s="191">
        <f t="shared" si="24"/>
        <v>0</v>
      </c>
      <c r="K59" s="191">
        <f t="shared" si="24"/>
        <v>0</v>
      </c>
      <c r="L59" s="191">
        <f t="shared" si="24"/>
        <v>0</v>
      </c>
      <c r="M59" s="191">
        <f t="shared" si="24"/>
        <v>0</v>
      </c>
      <c r="N59" s="172">
        <f t="shared" si="24"/>
        <v>0</v>
      </c>
      <c r="O59" s="192">
        <f t="shared" si="24"/>
        <v>0</v>
      </c>
      <c r="P59" s="171">
        <f t="shared" si="24"/>
        <v>0</v>
      </c>
      <c r="Q59" s="171">
        <f t="shared" si="24"/>
        <v>0</v>
      </c>
      <c r="R59" s="191">
        <f t="shared" si="24"/>
        <v>0</v>
      </c>
      <c r="S59" s="192">
        <f t="shared" si="24"/>
        <v>0</v>
      </c>
      <c r="T59" s="171">
        <f t="shared" si="24"/>
        <v>93000</v>
      </c>
      <c r="U59" s="171">
        <f t="shared" si="24"/>
        <v>0</v>
      </c>
      <c r="V59" s="171">
        <f t="shared" si="24"/>
        <v>5000</v>
      </c>
      <c r="W59" s="191">
        <f t="shared" si="24"/>
        <v>0</v>
      </c>
      <c r="X59" s="172">
        <f t="shared" si="24"/>
        <v>3508000</v>
      </c>
      <c r="Y59" s="491">
        <f t="shared" si="24"/>
        <v>3734000</v>
      </c>
      <c r="AA59" s="497">
        <f t="shared" si="24"/>
        <v>7000</v>
      </c>
    </row>
    <row r="60" spans="1:27" ht="12">
      <c r="A60" s="188">
        <v>2038</v>
      </c>
      <c r="B60" s="428">
        <v>18</v>
      </c>
      <c r="C60" s="493">
        <f aca="true" t="shared" si="25" ref="C60:AA60">ROUND(C23,-3)</f>
        <v>1869000</v>
      </c>
      <c r="D60" s="189">
        <f t="shared" si="25"/>
        <v>110000</v>
      </c>
      <c r="E60" s="189">
        <f t="shared" si="25"/>
        <v>36000</v>
      </c>
      <c r="F60" s="189">
        <f t="shared" si="25"/>
        <v>330000</v>
      </c>
      <c r="G60" s="171">
        <f t="shared" si="25"/>
        <v>103000</v>
      </c>
      <c r="H60" s="172">
        <f t="shared" si="25"/>
        <v>227000</v>
      </c>
      <c r="I60" s="190">
        <f t="shared" si="25"/>
        <v>0</v>
      </c>
      <c r="J60" s="191">
        <f t="shared" si="25"/>
        <v>0</v>
      </c>
      <c r="K60" s="191">
        <f t="shared" si="25"/>
        <v>0</v>
      </c>
      <c r="L60" s="191">
        <f t="shared" si="25"/>
        <v>0</v>
      </c>
      <c r="M60" s="191">
        <f t="shared" si="25"/>
        <v>0</v>
      </c>
      <c r="N60" s="172">
        <f t="shared" si="25"/>
        <v>0</v>
      </c>
      <c r="O60" s="192">
        <f t="shared" si="25"/>
        <v>0</v>
      </c>
      <c r="P60" s="171">
        <f t="shared" si="25"/>
        <v>0</v>
      </c>
      <c r="Q60" s="171">
        <f t="shared" si="25"/>
        <v>0</v>
      </c>
      <c r="R60" s="191">
        <f t="shared" si="25"/>
        <v>0</v>
      </c>
      <c r="S60" s="192">
        <f t="shared" si="25"/>
        <v>0</v>
      </c>
      <c r="T60" s="171">
        <f t="shared" si="25"/>
        <v>93000</v>
      </c>
      <c r="U60" s="171">
        <f t="shared" si="25"/>
        <v>0</v>
      </c>
      <c r="V60" s="171">
        <f t="shared" si="25"/>
        <v>5000</v>
      </c>
      <c r="W60" s="191">
        <f t="shared" si="25"/>
        <v>0</v>
      </c>
      <c r="X60" s="172">
        <f t="shared" si="25"/>
        <v>3508000</v>
      </c>
      <c r="Y60" s="491">
        <f t="shared" si="25"/>
        <v>3734000</v>
      </c>
      <c r="AA60" s="497">
        <f t="shared" si="25"/>
        <v>7000</v>
      </c>
    </row>
    <row r="61" spans="1:27" ht="12">
      <c r="A61" s="188">
        <v>2039</v>
      </c>
      <c r="B61" s="428">
        <v>19</v>
      </c>
      <c r="C61" s="493">
        <f aca="true" t="shared" si="26" ref="C61:AA61">ROUND(C24,-3)</f>
        <v>1869000</v>
      </c>
      <c r="D61" s="189">
        <f t="shared" si="26"/>
        <v>110000</v>
      </c>
      <c r="E61" s="189">
        <f t="shared" si="26"/>
        <v>36000</v>
      </c>
      <c r="F61" s="189">
        <f t="shared" si="26"/>
        <v>330000</v>
      </c>
      <c r="G61" s="171">
        <f t="shared" si="26"/>
        <v>103000</v>
      </c>
      <c r="H61" s="172">
        <f t="shared" si="26"/>
        <v>227000</v>
      </c>
      <c r="I61" s="190">
        <f t="shared" si="26"/>
        <v>0</v>
      </c>
      <c r="J61" s="191">
        <f t="shared" si="26"/>
        <v>0</v>
      </c>
      <c r="K61" s="191">
        <f t="shared" si="26"/>
        <v>0</v>
      </c>
      <c r="L61" s="191">
        <f t="shared" si="26"/>
        <v>0</v>
      </c>
      <c r="M61" s="191">
        <f t="shared" si="26"/>
        <v>0</v>
      </c>
      <c r="N61" s="172">
        <f t="shared" si="26"/>
        <v>0</v>
      </c>
      <c r="O61" s="192">
        <f t="shared" si="26"/>
        <v>0</v>
      </c>
      <c r="P61" s="171">
        <f t="shared" si="26"/>
        <v>0</v>
      </c>
      <c r="Q61" s="171">
        <f t="shared" si="26"/>
        <v>0</v>
      </c>
      <c r="R61" s="191">
        <f t="shared" si="26"/>
        <v>0</v>
      </c>
      <c r="S61" s="192">
        <f t="shared" si="26"/>
        <v>0</v>
      </c>
      <c r="T61" s="171">
        <f t="shared" si="26"/>
        <v>93000</v>
      </c>
      <c r="U61" s="171">
        <f t="shared" si="26"/>
        <v>0</v>
      </c>
      <c r="V61" s="171">
        <f t="shared" si="26"/>
        <v>5000</v>
      </c>
      <c r="W61" s="191">
        <f t="shared" si="26"/>
        <v>0</v>
      </c>
      <c r="X61" s="172">
        <f t="shared" si="26"/>
        <v>3508000</v>
      </c>
      <c r="Y61" s="491">
        <f t="shared" si="26"/>
        <v>3734000</v>
      </c>
      <c r="AA61" s="497">
        <f t="shared" si="26"/>
        <v>7000</v>
      </c>
    </row>
    <row r="62" spans="1:27" ht="12">
      <c r="A62" s="188">
        <v>2040</v>
      </c>
      <c r="B62" s="428">
        <v>20</v>
      </c>
      <c r="C62" s="493">
        <f aca="true" t="shared" si="27" ref="C62:AA62">ROUND(C25,-3)</f>
        <v>1869000</v>
      </c>
      <c r="D62" s="189">
        <f t="shared" si="27"/>
        <v>110000</v>
      </c>
      <c r="E62" s="189">
        <f t="shared" si="27"/>
        <v>36000</v>
      </c>
      <c r="F62" s="189">
        <f t="shared" si="27"/>
        <v>330000</v>
      </c>
      <c r="G62" s="171">
        <f t="shared" si="27"/>
        <v>103000</v>
      </c>
      <c r="H62" s="172">
        <f t="shared" si="27"/>
        <v>227000</v>
      </c>
      <c r="I62" s="190">
        <f t="shared" si="27"/>
        <v>0</v>
      </c>
      <c r="J62" s="191">
        <f t="shared" si="27"/>
        <v>0</v>
      </c>
      <c r="K62" s="191">
        <f t="shared" si="27"/>
        <v>0</v>
      </c>
      <c r="L62" s="191">
        <f t="shared" si="27"/>
        <v>0</v>
      </c>
      <c r="M62" s="191">
        <f t="shared" si="27"/>
        <v>0</v>
      </c>
      <c r="N62" s="172">
        <f t="shared" si="27"/>
        <v>0</v>
      </c>
      <c r="O62" s="192">
        <f t="shared" si="27"/>
        <v>0</v>
      </c>
      <c r="P62" s="171">
        <f t="shared" si="27"/>
        <v>0</v>
      </c>
      <c r="Q62" s="171">
        <f t="shared" si="27"/>
        <v>0</v>
      </c>
      <c r="R62" s="191">
        <f t="shared" si="27"/>
        <v>0</v>
      </c>
      <c r="S62" s="192">
        <f t="shared" si="27"/>
        <v>0</v>
      </c>
      <c r="T62" s="171">
        <f t="shared" si="27"/>
        <v>93000</v>
      </c>
      <c r="U62" s="171">
        <f t="shared" si="27"/>
        <v>0</v>
      </c>
      <c r="V62" s="171">
        <f t="shared" si="27"/>
        <v>5000</v>
      </c>
      <c r="W62" s="191">
        <f t="shared" si="27"/>
        <v>0</v>
      </c>
      <c r="X62" s="172">
        <f t="shared" si="27"/>
        <v>3508000</v>
      </c>
      <c r="Y62" s="491">
        <f t="shared" si="27"/>
        <v>3734000</v>
      </c>
      <c r="AA62" s="497">
        <f t="shared" si="27"/>
        <v>7000</v>
      </c>
    </row>
    <row r="63" spans="1:27" ht="12">
      <c r="A63" s="188">
        <v>2041</v>
      </c>
      <c r="B63" s="428">
        <v>21</v>
      </c>
      <c r="C63" s="493">
        <f aca="true" t="shared" si="28" ref="C63:AA63">ROUND(C26,-3)</f>
        <v>1869000</v>
      </c>
      <c r="D63" s="189">
        <f t="shared" si="28"/>
        <v>110000</v>
      </c>
      <c r="E63" s="189">
        <f t="shared" si="28"/>
        <v>36000</v>
      </c>
      <c r="F63" s="189">
        <f t="shared" si="28"/>
        <v>330000</v>
      </c>
      <c r="G63" s="171">
        <f t="shared" si="28"/>
        <v>103000</v>
      </c>
      <c r="H63" s="172">
        <f t="shared" si="28"/>
        <v>227000</v>
      </c>
      <c r="I63" s="190">
        <f t="shared" si="28"/>
        <v>0</v>
      </c>
      <c r="J63" s="191">
        <f t="shared" si="28"/>
        <v>0</v>
      </c>
      <c r="K63" s="191">
        <f t="shared" si="28"/>
        <v>0</v>
      </c>
      <c r="L63" s="191">
        <f t="shared" si="28"/>
        <v>0</v>
      </c>
      <c r="M63" s="191">
        <f t="shared" si="28"/>
        <v>0</v>
      </c>
      <c r="N63" s="172">
        <f t="shared" si="28"/>
        <v>0</v>
      </c>
      <c r="O63" s="192">
        <f t="shared" si="28"/>
        <v>0</v>
      </c>
      <c r="P63" s="171">
        <f t="shared" si="28"/>
        <v>0</v>
      </c>
      <c r="Q63" s="171">
        <f t="shared" si="28"/>
        <v>0</v>
      </c>
      <c r="R63" s="191">
        <f t="shared" si="28"/>
        <v>0</v>
      </c>
      <c r="S63" s="192">
        <f t="shared" si="28"/>
        <v>0</v>
      </c>
      <c r="T63" s="171">
        <f t="shared" si="28"/>
        <v>93000</v>
      </c>
      <c r="U63" s="171">
        <f t="shared" si="28"/>
        <v>0</v>
      </c>
      <c r="V63" s="171">
        <f t="shared" si="28"/>
        <v>5000</v>
      </c>
      <c r="W63" s="191">
        <f t="shared" si="28"/>
        <v>0</v>
      </c>
      <c r="X63" s="172">
        <f t="shared" si="28"/>
        <v>3508000</v>
      </c>
      <c r="Y63" s="491">
        <f t="shared" si="28"/>
        <v>3734000</v>
      </c>
      <c r="AA63" s="497">
        <f t="shared" si="28"/>
        <v>7000</v>
      </c>
    </row>
    <row r="64" spans="1:27" ht="12">
      <c r="A64" s="188">
        <v>2042</v>
      </c>
      <c r="B64" s="428">
        <v>22</v>
      </c>
      <c r="C64" s="493">
        <f aca="true" t="shared" si="29" ref="C64:AA64">ROUND(C27,-3)</f>
        <v>1869000</v>
      </c>
      <c r="D64" s="189">
        <f t="shared" si="29"/>
        <v>110000</v>
      </c>
      <c r="E64" s="189">
        <f t="shared" si="29"/>
        <v>36000</v>
      </c>
      <c r="F64" s="189">
        <f t="shared" si="29"/>
        <v>330000</v>
      </c>
      <c r="G64" s="171">
        <f t="shared" si="29"/>
        <v>103000</v>
      </c>
      <c r="H64" s="172">
        <f t="shared" si="29"/>
        <v>227000</v>
      </c>
      <c r="I64" s="190">
        <f t="shared" si="29"/>
        <v>0</v>
      </c>
      <c r="J64" s="191">
        <f t="shared" si="29"/>
        <v>0</v>
      </c>
      <c r="K64" s="191">
        <f t="shared" si="29"/>
        <v>0</v>
      </c>
      <c r="L64" s="191">
        <f t="shared" si="29"/>
        <v>0</v>
      </c>
      <c r="M64" s="191">
        <f t="shared" si="29"/>
        <v>0</v>
      </c>
      <c r="N64" s="172">
        <f t="shared" si="29"/>
        <v>0</v>
      </c>
      <c r="O64" s="192">
        <f t="shared" si="29"/>
        <v>0</v>
      </c>
      <c r="P64" s="171">
        <f t="shared" si="29"/>
        <v>0</v>
      </c>
      <c r="Q64" s="171">
        <f t="shared" si="29"/>
        <v>0</v>
      </c>
      <c r="R64" s="191">
        <f t="shared" si="29"/>
        <v>0</v>
      </c>
      <c r="S64" s="192">
        <f t="shared" si="29"/>
        <v>0</v>
      </c>
      <c r="T64" s="171">
        <f t="shared" si="29"/>
        <v>93000</v>
      </c>
      <c r="U64" s="171">
        <f t="shared" si="29"/>
        <v>0</v>
      </c>
      <c r="V64" s="171">
        <f t="shared" si="29"/>
        <v>5000</v>
      </c>
      <c r="W64" s="191">
        <f t="shared" si="29"/>
        <v>0</v>
      </c>
      <c r="X64" s="172">
        <f t="shared" si="29"/>
        <v>3508000</v>
      </c>
      <c r="Y64" s="491">
        <f t="shared" si="29"/>
        <v>3734000</v>
      </c>
      <c r="AA64" s="497">
        <f t="shared" si="29"/>
        <v>7000</v>
      </c>
    </row>
    <row r="65" spans="1:27" ht="12">
      <c r="A65" s="188">
        <v>2043</v>
      </c>
      <c r="B65" s="428">
        <v>23</v>
      </c>
      <c r="C65" s="493">
        <f aca="true" t="shared" si="30" ref="C65:AA65">ROUND(C28,-3)</f>
        <v>1869000</v>
      </c>
      <c r="D65" s="189">
        <f t="shared" si="30"/>
        <v>110000</v>
      </c>
      <c r="E65" s="189">
        <f t="shared" si="30"/>
        <v>36000</v>
      </c>
      <c r="F65" s="189">
        <f t="shared" si="30"/>
        <v>330000</v>
      </c>
      <c r="G65" s="171">
        <f t="shared" si="30"/>
        <v>103000</v>
      </c>
      <c r="H65" s="172">
        <f t="shared" si="30"/>
        <v>227000</v>
      </c>
      <c r="I65" s="190">
        <f t="shared" si="30"/>
        <v>0</v>
      </c>
      <c r="J65" s="191">
        <f t="shared" si="30"/>
        <v>0</v>
      </c>
      <c r="K65" s="191">
        <f t="shared" si="30"/>
        <v>0</v>
      </c>
      <c r="L65" s="191">
        <f t="shared" si="30"/>
        <v>0</v>
      </c>
      <c r="M65" s="191">
        <f t="shared" si="30"/>
        <v>0</v>
      </c>
      <c r="N65" s="172">
        <f t="shared" si="30"/>
        <v>0</v>
      </c>
      <c r="O65" s="192">
        <f t="shared" si="30"/>
        <v>0</v>
      </c>
      <c r="P65" s="171">
        <f t="shared" si="30"/>
        <v>0</v>
      </c>
      <c r="Q65" s="171">
        <f t="shared" si="30"/>
        <v>0</v>
      </c>
      <c r="R65" s="191">
        <f t="shared" si="30"/>
        <v>0</v>
      </c>
      <c r="S65" s="192">
        <f t="shared" si="30"/>
        <v>0</v>
      </c>
      <c r="T65" s="171">
        <f t="shared" si="30"/>
        <v>93000</v>
      </c>
      <c r="U65" s="171">
        <f t="shared" si="30"/>
        <v>0</v>
      </c>
      <c r="V65" s="171">
        <f t="shared" si="30"/>
        <v>5000</v>
      </c>
      <c r="W65" s="191">
        <f t="shared" si="30"/>
        <v>0</v>
      </c>
      <c r="X65" s="172">
        <f t="shared" si="30"/>
        <v>3508000</v>
      </c>
      <c r="Y65" s="491">
        <f t="shared" si="30"/>
        <v>3734000</v>
      </c>
      <c r="AA65" s="497">
        <f t="shared" si="30"/>
        <v>7000</v>
      </c>
    </row>
    <row r="66" spans="1:27" ht="12">
      <c r="A66" s="188">
        <v>2044</v>
      </c>
      <c r="B66" s="428">
        <v>24</v>
      </c>
      <c r="C66" s="493">
        <f aca="true" t="shared" si="31" ref="C66:AA66">ROUND(C29,-3)</f>
        <v>1869000</v>
      </c>
      <c r="D66" s="189">
        <f t="shared" si="31"/>
        <v>110000</v>
      </c>
      <c r="E66" s="189">
        <f t="shared" si="31"/>
        <v>36000</v>
      </c>
      <c r="F66" s="189">
        <f t="shared" si="31"/>
        <v>330000</v>
      </c>
      <c r="G66" s="171">
        <f t="shared" si="31"/>
        <v>103000</v>
      </c>
      <c r="H66" s="172">
        <f t="shared" si="31"/>
        <v>227000</v>
      </c>
      <c r="I66" s="190">
        <f t="shared" si="31"/>
        <v>0</v>
      </c>
      <c r="J66" s="191">
        <f t="shared" si="31"/>
        <v>0</v>
      </c>
      <c r="K66" s="191">
        <f t="shared" si="31"/>
        <v>0</v>
      </c>
      <c r="L66" s="191">
        <f t="shared" si="31"/>
        <v>0</v>
      </c>
      <c r="M66" s="191">
        <f t="shared" si="31"/>
        <v>0</v>
      </c>
      <c r="N66" s="172">
        <f t="shared" si="31"/>
        <v>0</v>
      </c>
      <c r="O66" s="192">
        <f t="shared" si="31"/>
        <v>0</v>
      </c>
      <c r="P66" s="171">
        <f t="shared" si="31"/>
        <v>0</v>
      </c>
      <c r="Q66" s="171">
        <f t="shared" si="31"/>
        <v>0</v>
      </c>
      <c r="R66" s="191">
        <f t="shared" si="31"/>
        <v>0</v>
      </c>
      <c r="S66" s="192">
        <f t="shared" si="31"/>
        <v>0</v>
      </c>
      <c r="T66" s="171">
        <f t="shared" si="31"/>
        <v>93000</v>
      </c>
      <c r="U66" s="171">
        <f t="shared" si="31"/>
        <v>0</v>
      </c>
      <c r="V66" s="171">
        <f t="shared" si="31"/>
        <v>5000</v>
      </c>
      <c r="W66" s="191">
        <f t="shared" si="31"/>
        <v>0</v>
      </c>
      <c r="X66" s="172">
        <f t="shared" si="31"/>
        <v>3508000</v>
      </c>
      <c r="Y66" s="491">
        <f t="shared" si="31"/>
        <v>3734000</v>
      </c>
      <c r="AA66" s="497">
        <f t="shared" si="31"/>
        <v>7000</v>
      </c>
    </row>
    <row r="67" spans="1:27" ht="12">
      <c r="A67" s="188">
        <v>2045</v>
      </c>
      <c r="B67" s="428">
        <v>25</v>
      </c>
      <c r="C67" s="493">
        <f aca="true" t="shared" si="32" ref="C67:AA67">ROUND(C30,-3)</f>
        <v>1869000</v>
      </c>
      <c r="D67" s="189">
        <f t="shared" si="32"/>
        <v>110000</v>
      </c>
      <c r="E67" s="189">
        <f t="shared" si="32"/>
        <v>36000</v>
      </c>
      <c r="F67" s="189">
        <f t="shared" si="32"/>
        <v>330000</v>
      </c>
      <c r="G67" s="171">
        <f t="shared" si="32"/>
        <v>103000</v>
      </c>
      <c r="H67" s="172">
        <f t="shared" si="32"/>
        <v>227000</v>
      </c>
      <c r="I67" s="190">
        <f t="shared" si="32"/>
        <v>0</v>
      </c>
      <c r="J67" s="191">
        <f t="shared" si="32"/>
        <v>0</v>
      </c>
      <c r="K67" s="191">
        <f t="shared" si="32"/>
        <v>0</v>
      </c>
      <c r="L67" s="191">
        <f t="shared" si="32"/>
        <v>0</v>
      </c>
      <c r="M67" s="191">
        <f t="shared" si="32"/>
        <v>0</v>
      </c>
      <c r="N67" s="172">
        <f t="shared" si="32"/>
        <v>0</v>
      </c>
      <c r="O67" s="192">
        <f t="shared" si="32"/>
        <v>0</v>
      </c>
      <c r="P67" s="171">
        <f t="shared" si="32"/>
        <v>0</v>
      </c>
      <c r="Q67" s="171">
        <f t="shared" si="32"/>
        <v>0</v>
      </c>
      <c r="R67" s="191">
        <f t="shared" si="32"/>
        <v>0</v>
      </c>
      <c r="S67" s="192">
        <f t="shared" si="32"/>
        <v>0</v>
      </c>
      <c r="T67" s="171">
        <f t="shared" si="32"/>
        <v>93000</v>
      </c>
      <c r="U67" s="171">
        <f t="shared" si="32"/>
        <v>0</v>
      </c>
      <c r="V67" s="171">
        <f t="shared" si="32"/>
        <v>5000</v>
      </c>
      <c r="W67" s="191">
        <f t="shared" si="32"/>
        <v>0</v>
      </c>
      <c r="X67" s="172">
        <f t="shared" si="32"/>
        <v>3508000</v>
      </c>
      <c r="Y67" s="491">
        <f t="shared" si="32"/>
        <v>3734000</v>
      </c>
      <c r="AA67" s="497">
        <f t="shared" si="32"/>
        <v>7000</v>
      </c>
    </row>
    <row r="68" spans="1:27" ht="12">
      <c r="A68" s="188">
        <v>2046</v>
      </c>
      <c r="B68" s="428">
        <v>26</v>
      </c>
      <c r="C68" s="493">
        <f aca="true" t="shared" si="33" ref="C68:AA68">ROUND(C31,-3)</f>
        <v>1869000</v>
      </c>
      <c r="D68" s="189">
        <f t="shared" si="33"/>
        <v>110000</v>
      </c>
      <c r="E68" s="189">
        <f t="shared" si="33"/>
        <v>36000</v>
      </c>
      <c r="F68" s="189">
        <f t="shared" si="33"/>
        <v>330000</v>
      </c>
      <c r="G68" s="171">
        <f t="shared" si="33"/>
        <v>103000</v>
      </c>
      <c r="H68" s="172">
        <f t="shared" si="33"/>
        <v>227000</v>
      </c>
      <c r="I68" s="190">
        <f t="shared" si="33"/>
        <v>0</v>
      </c>
      <c r="J68" s="191">
        <f t="shared" si="33"/>
        <v>0</v>
      </c>
      <c r="K68" s="191">
        <f t="shared" si="33"/>
        <v>0</v>
      </c>
      <c r="L68" s="191">
        <f t="shared" si="33"/>
        <v>0</v>
      </c>
      <c r="M68" s="191">
        <f t="shared" si="33"/>
        <v>0</v>
      </c>
      <c r="N68" s="172">
        <f t="shared" si="33"/>
        <v>0</v>
      </c>
      <c r="O68" s="192">
        <f t="shared" si="33"/>
        <v>0</v>
      </c>
      <c r="P68" s="171">
        <f t="shared" si="33"/>
        <v>0</v>
      </c>
      <c r="Q68" s="171">
        <f t="shared" si="33"/>
        <v>0</v>
      </c>
      <c r="R68" s="191">
        <f t="shared" si="33"/>
        <v>0</v>
      </c>
      <c r="S68" s="192">
        <f t="shared" si="33"/>
        <v>0</v>
      </c>
      <c r="T68" s="171">
        <f t="shared" si="33"/>
        <v>93000</v>
      </c>
      <c r="U68" s="171">
        <f t="shared" si="33"/>
        <v>0</v>
      </c>
      <c r="V68" s="171">
        <f t="shared" si="33"/>
        <v>5000</v>
      </c>
      <c r="W68" s="191">
        <f t="shared" si="33"/>
        <v>0</v>
      </c>
      <c r="X68" s="172">
        <f t="shared" si="33"/>
        <v>3508000</v>
      </c>
      <c r="Y68" s="491">
        <f t="shared" si="33"/>
        <v>3734000</v>
      </c>
      <c r="AA68" s="497">
        <f t="shared" si="33"/>
        <v>7000</v>
      </c>
    </row>
    <row r="69" spans="1:27" ht="12">
      <c r="A69" s="188">
        <v>2047</v>
      </c>
      <c r="B69" s="428">
        <v>27</v>
      </c>
      <c r="C69" s="493">
        <f aca="true" t="shared" si="34" ref="C69:AA69">ROUND(C32,-3)</f>
        <v>1869000</v>
      </c>
      <c r="D69" s="189">
        <f t="shared" si="34"/>
        <v>110000</v>
      </c>
      <c r="E69" s="189">
        <f t="shared" si="34"/>
        <v>36000</v>
      </c>
      <c r="F69" s="189">
        <f t="shared" si="34"/>
        <v>330000</v>
      </c>
      <c r="G69" s="171">
        <f t="shared" si="34"/>
        <v>103000</v>
      </c>
      <c r="H69" s="172">
        <f t="shared" si="34"/>
        <v>227000</v>
      </c>
      <c r="I69" s="190">
        <f t="shared" si="34"/>
        <v>0</v>
      </c>
      <c r="J69" s="191">
        <f t="shared" si="34"/>
        <v>0</v>
      </c>
      <c r="K69" s="191">
        <f t="shared" si="34"/>
        <v>0</v>
      </c>
      <c r="L69" s="191">
        <f t="shared" si="34"/>
        <v>0</v>
      </c>
      <c r="M69" s="191">
        <f t="shared" si="34"/>
        <v>0</v>
      </c>
      <c r="N69" s="172">
        <f t="shared" si="34"/>
        <v>0</v>
      </c>
      <c r="O69" s="192">
        <f t="shared" si="34"/>
        <v>0</v>
      </c>
      <c r="P69" s="171">
        <f t="shared" si="34"/>
        <v>0</v>
      </c>
      <c r="Q69" s="171">
        <f t="shared" si="34"/>
        <v>0</v>
      </c>
      <c r="R69" s="191">
        <f t="shared" si="34"/>
        <v>0</v>
      </c>
      <c r="S69" s="192">
        <f t="shared" si="34"/>
        <v>0</v>
      </c>
      <c r="T69" s="171">
        <f t="shared" si="34"/>
        <v>93000</v>
      </c>
      <c r="U69" s="171">
        <f t="shared" si="34"/>
        <v>0</v>
      </c>
      <c r="V69" s="171">
        <f t="shared" si="34"/>
        <v>5000</v>
      </c>
      <c r="W69" s="191">
        <f t="shared" si="34"/>
        <v>0</v>
      </c>
      <c r="X69" s="172">
        <f t="shared" si="34"/>
        <v>3508000</v>
      </c>
      <c r="Y69" s="491">
        <f t="shared" si="34"/>
        <v>3734000</v>
      </c>
      <c r="AA69" s="497">
        <f t="shared" si="34"/>
        <v>7000</v>
      </c>
    </row>
    <row r="70" spans="1:27" ht="12">
      <c r="A70" s="188">
        <v>2048</v>
      </c>
      <c r="B70" s="428">
        <v>28</v>
      </c>
      <c r="C70" s="493">
        <f aca="true" t="shared" si="35" ref="C70:AA70">ROUND(C33,-3)</f>
        <v>1869000</v>
      </c>
      <c r="D70" s="189">
        <f t="shared" si="35"/>
        <v>110000</v>
      </c>
      <c r="E70" s="189">
        <f t="shared" si="35"/>
        <v>36000</v>
      </c>
      <c r="F70" s="189">
        <f t="shared" si="35"/>
        <v>330000</v>
      </c>
      <c r="G70" s="171">
        <f t="shared" si="35"/>
        <v>103000</v>
      </c>
      <c r="H70" s="172">
        <f t="shared" si="35"/>
        <v>227000</v>
      </c>
      <c r="I70" s="190">
        <f t="shared" si="35"/>
        <v>0</v>
      </c>
      <c r="J70" s="191">
        <f t="shared" si="35"/>
        <v>0</v>
      </c>
      <c r="K70" s="191">
        <f t="shared" si="35"/>
        <v>0</v>
      </c>
      <c r="L70" s="191">
        <f t="shared" si="35"/>
        <v>0</v>
      </c>
      <c r="M70" s="191">
        <f t="shared" si="35"/>
        <v>0</v>
      </c>
      <c r="N70" s="172">
        <f t="shared" si="35"/>
        <v>0</v>
      </c>
      <c r="O70" s="192">
        <f t="shared" si="35"/>
        <v>0</v>
      </c>
      <c r="P70" s="171">
        <f t="shared" si="35"/>
        <v>0</v>
      </c>
      <c r="Q70" s="171">
        <f t="shared" si="35"/>
        <v>0</v>
      </c>
      <c r="R70" s="191">
        <f t="shared" si="35"/>
        <v>0</v>
      </c>
      <c r="S70" s="192">
        <f t="shared" si="35"/>
        <v>0</v>
      </c>
      <c r="T70" s="171">
        <f t="shared" si="35"/>
        <v>93000</v>
      </c>
      <c r="U70" s="171">
        <f t="shared" si="35"/>
        <v>0</v>
      </c>
      <c r="V70" s="171">
        <f t="shared" si="35"/>
        <v>5000</v>
      </c>
      <c r="W70" s="191">
        <f t="shared" si="35"/>
        <v>0</v>
      </c>
      <c r="X70" s="172">
        <f t="shared" si="35"/>
        <v>3508000</v>
      </c>
      <c r="Y70" s="491">
        <f t="shared" si="35"/>
        <v>3734000</v>
      </c>
      <c r="AA70" s="497">
        <f t="shared" si="35"/>
        <v>7000</v>
      </c>
    </row>
    <row r="71" spans="1:27" ht="12">
      <c r="A71" s="188">
        <v>2049</v>
      </c>
      <c r="B71" s="428">
        <v>29</v>
      </c>
      <c r="C71" s="493">
        <f aca="true" t="shared" si="36" ref="C71:AA71">ROUND(C34,-3)</f>
        <v>1869000</v>
      </c>
      <c r="D71" s="189">
        <f t="shared" si="36"/>
        <v>110000</v>
      </c>
      <c r="E71" s="189">
        <f t="shared" si="36"/>
        <v>36000</v>
      </c>
      <c r="F71" s="189">
        <f t="shared" si="36"/>
        <v>330000</v>
      </c>
      <c r="G71" s="171">
        <f t="shared" si="36"/>
        <v>103000</v>
      </c>
      <c r="H71" s="172">
        <f t="shared" si="36"/>
        <v>227000</v>
      </c>
      <c r="I71" s="190">
        <f t="shared" si="36"/>
        <v>0</v>
      </c>
      <c r="J71" s="191">
        <f t="shared" si="36"/>
        <v>0</v>
      </c>
      <c r="K71" s="191">
        <f t="shared" si="36"/>
        <v>0</v>
      </c>
      <c r="L71" s="191">
        <f t="shared" si="36"/>
        <v>0</v>
      </c>
      <c r="M71" s="191">
        <f t="shared" si="36"/>
        <v>0</v>
      </c>
      <c r="N71" s="172">
        <f t="shared" si="36"/>
        <v>0</v>
      </c>
      <c r="O71" s="192">
        <f t="shared" si="36"/>
        <v>0</v>
      </c>
      <c r="P71" s="171">
        <f t="shared" si="36"/>
        <v>0</v>
      </c>
      <c r="Q71" s="171">
        <f t="shared" si="36"/>
        <v>0</v>
      </c>
      <c r="R71" s="191">
        <f t="shared" si="36"/>
        <v>0</v>
      </c>
      <c r="S71" s="192">
        <f t="shared" si="36"/>
        <v>0</v>
      </c>
      <c r="T71" s="171">
        <f t="shared" si="36"/>
        <v>93000</v>
      </c>
      <c r="U71" s="171">
        <f t="shared" si="36"/>
        <v>0</v>
      </c>
      <c r="V71" s="171">
        <f t="shared" si="36"/>
        <v>5000</v>
      </c>
      <c r="W71" s="191">
        <f t="shared" si="36"/>
        <v>0</v>
      </c>
      <c r="X71" s="172">
        <f t="shared" si="36"/>
        <v>3508000</v>
      </c>
      <c r="Y71" s="491">
        <f t="shared" si="36"/>
        <v>3734000</v>
      </c>
      <c r="AA71" s="497">
        <f t="shared" si="36"/>
        <v>7000</v>
      </c>
    </row>
    <row r="72" spans="1:27" ht="12">
      <c r="A72" s="467">
        <v>2050</v>
      </c>
      <c r="B72" s="473">
        <v>30</v>
      </c>
      <c r="C72" s="493">
        <f aca="true" t="shared" si="37" ref="C72:AA72">ROUND(C35,-3)</f>
        <v>1869000</v>
      </c>
      <c r="D72" s="189">
        <f t="shared" si="37"/>
        <v>110000</v>
      </c>
      <c r="E72" s="189">
        <f t="shared" si="37"/>
        <v>36000</v>
      </c>
      <c r="F72" s="189">
        <f t="shared" si="37"/>
        <v>330000</v>
      </c>
      <c r="G72" s="171">
        <f t="shared" si="37"/>
        <v>103000</v>
      </c>
      <c r="H72" s="172">
        <f t="shared" si="37"/>
        <v>227000</v>
      </c>
      <c r="I72" s="190">
        <f t="shared" si="37"/>
        <v>0</v>
      </c>
      <c r="J72" s="191">
        <f t="shared" si="37"/>
        <v>0</v>
      </c>
      <c r="K72" s="191">
        <f t="shared" si="37"/>
        <v>0</v>
      </c>
      <c r="L72" s="191">
        <f t="shared" si="37"/>
        <v>0</v>
      </c>
      <c r="M72" s="191">
        <f t="shared" si="37"/>
        <v>0</v>
      </c>
      <c r="N72" s="172">
        <f t="shared" si="37"/>
        <v>0</v>
      </c>
      <c r="O72" s="192">
        <f t="shared" si="37"/>
        <v>0</v>
      </c>
      <c r="P72" s="171">
        <f t="shared" si="37"/>
        <v>0</v>
      </c>
      <c r="Q72" s="171">
        <f t="shared" si="37"/>
        <v>0</v>
      </c>
      <c r="R72" s="191">
        <f t="shared" si="37"/>
        <v>0</v>
      </c>
      <c r="S72" s="192">
        <f t="shared" si="37"/>
        <v>0</v>
      </c>
      <c r="T72" s="171">
        <f t="shared" si="37"/>
        <v>93000</v>
      </c>
      <c r="U72" s="171">
        <f t="shared" si="37"/>
        <v>0</v>
      </c>
      <c r="V72" s="171">
        <f t="shared" si="37"/>
        <v>5000</v>
      </c>
      <c r="W72" s="191">
        <f t="shared" si="37"/>
        <v>0</v>
      </c>
      <c r="X72" s="172">
        <f t="shared" si="37"/>
        <v>3508000</v>
      </c>
      <c r="Y72" s="491">
        <f t="shared" si="37"/>
        <v>3734000</v>
      </c>
      <c r="AA72" s="497">
        <f t="shared" si="37"/>
        <v>7000</v>
      </c>
    </row>
    <row r="73" spans="1:27" ht="12.75" thickBot="1">
      <c r="A73" s="616" t="s">
        <v>135</v>
      </c>
      <c r="B73" s="617"/>
      <c r="C73" s="494">
        <f aca="true" t="shared" si="38" ref="C73:AA73">ROUND(C36,-3)</f>
        <v>60830000</v>
      </c>
      <c r="D73" s="193">
        <f t="shared" si="38"/>
        <v>3578000</v>
      </c>
      <c r="E73" s="193">
        <f t="shared" si="38"/>
        <v>1345000</v>
      </c>
      <c r="F73" s="193">
        <f t="shared" si="38"/>
        <v>10735000</v>
      </c>
      <c r="G73" s="194">
        <f t="shared" si="38"/>
        <v>3929000</v>
      </c>
      <c r="H73" s="195">
        <f t="shared" si="38"/>
        <v>6806000</v>
      </c>
      <c r="I73" s="196">
        <f t="shared" si="38"/>
        <v>413000</v>
      </c>
      <c r="J73" s="194">
        <f t="shared" si="38"/>
        <v>413000</v>
      </c>
      <c r="K73" s="194">
        <f t="shared" si="38"/>
        <v>206000</v>
      </c>
      <c r="L73" s="194">
        <f t="shared" si="38"/>
        <v>1238000</v>
      </c>
      <c r="M73" s="194">
        <f t="shared" si="38"/>
        <v>598000</v>
      </c>
      <c r="N73" s="195">
        <f t="shared" si="38"/>
        <v>639000</v>
      </c>
      <c r="O73" s="196">
        <f t="shared" si="38"/>
        <v>0</v>
      </c>
      <c r="P73" s="194">
        <f t="shared" si="38"/>
        <v>2000</v>
      </c>
      <c r="Q73" s="194">
        <f t="shared" si="38"/>
        <v>1000</v>
      </c>
      <c r="R73" s="197">
        <f t="shared" si="38"/>
        <v>1000</v>
      </c>
      <c r="S73" s="196">
        <f t="shared" si="38"/>
        <v>0</v>
      </c>
      <c r="T73" s="194">
        <f t="shared" si="38"/>
        <v>2804000</v>
      </c>
      <c r="U73" s="194">
        <f t="shared" si="38"/>
        <v>0</v>
      </c>
      <c r="V73" s="194">
        <f t="shared" si="38"/>
        <v>165000</v>
      </c>
      <c r="W73" s="197">
        <f t="shared" si="38"/>
        <v>0</v>
      </c>
      <c r="X73" s="195">
        <f t="shared" si="38"/>
        <v>105225000</v>
      </c>
      <c r="Y73" s="492">
        <f t="shared" si="38"/>
        <v>112671000</v>
      </c>
      <c r="Z73" s="120"/>
      <c r="AA73" s="498">
        <f t="shared" si="38"/>
        <v>210000</v>
      </c>
    </row>
  </sheetData>
  <sheetProtection/>
  <mergeCells count="16">
    <mergeCell ref="AA38:AA39"/>
    <mergeCell ref="A73:B73"/>
    <mergeCell ref="A38:A39"/>
    <mergeCell ref="B38:B39"/>
    <mergeCell ref="C38:H38"/>
    <mergeCell ref="I38:N38"/>
    <mergeCell ref="O38:R38"/>
    <mergeCell ref="S38:X38"/>
    <mergeCell ref="AA1:AA2"/>
    <mergeCell ref="O1:R1"/>
    <mergeCell ref="S1:X1"/>
    <mergeCell ref="C1:H1"/>
    <mergeCell ref="A36:B36"/>
    <mergeCell ref="B1:B2"/>
    <mergeCell ref="A1:A2"/>
    <mergeCell ref="I1:N1"/>
  </mergeCells>
  <printOptions/>
  <pageMargins left="0.75" right="0.75" top="1" bottom="1" header="0.5" footer="0.5"/>
  <pageSetup orientation="portrait" r:id="rId1"/>
</worksheet>
</file>

<file path=xl/worksheets/sheet9.xml><?xml version="1.0" encoding="utf-8"?>
<worksheet xmlns="http://schemas.openxmlformats.org/spreadsheetml/2006/main" xmlns:r="http://schemas.openxmlformats.org/officeDocument/2006/relationships">
  <dimension ref="A1:I71"/>
  <sheetViews>
    <sheetView zoomScalePageLayoutView="0" workbookViewId="0" topLeftCell="A1">
      <selection activeCell="D4" sqref="D4"/>
    </sheetView>
  </sheetViews>
  <sheetFormatPr defaultColWidth="9.140625" defaultRowHeight="12.75"/>
  <cols>
    <col min="1" max="2" width="8.7109375" style="133" customWidth="1"/>
    <col min="3" max="9" width="12.7109375" style="173" customWidth="1"/>
    <col min="10" max="16384" width="9.140625" style="80" customWidth="1"/>
  </cols>
  <sheetData>
    <row r="1" spans="1:9" s="159" customFormat="1" ht="72">
      <c r="A1" s="156" t="s">
        <v>64</v>
      </c>
      <c r="B1" s="157" t="s">
        <v>1</v>
      </c>
      <c r="C1" s="182" t="s">
        <v>478</v>
      </c>
      <c r="D1" s="182" t="s">
        <v>479</v>
      </c>
      <c r="E1" s="182" t="s">
        <v>186</v>
      </c>
      <c r="F1" s="182" t="s">
        <v>187</v>
      </c>
      <c r="G1" s="182" t="s">
        <v>188</v>
      </c>
      <c r="H1" s="182" t="s">
        <v>189</v>
      </c>
      <c r="I1" s="183" t="s">
        <v>190</v>
      </c>
    </row>
    <row r="2" spans="1:9" ht="12">
      <c r="A2" s="169">
        <v>-2</v>
      </c>
      <c r="B2" s="170">
        <v>2018</v>
      </c>
      <c r="C2" s="171">
        <f>'Avoided Truck Miles'!D3+'Avoided Truck Miles'!J3</f>
        <v>85532.7577894374</v>
      </c>
      <c r="D2" s="171">
        <f>'Avoided Truck Miles'!E3+'Avoided Truck Miles'!K3</f>
        <v>85532.7577894374</v>
      </c>
      <c r="E2" s="171">
        <f>Inputs!$B$28</f>
        <v>25</v>
      </c>
      <c r="F2" s="171">
        <f>E2</f>
        <v>25</v>
      </c>
      <c r="G2" s="171">
        <f>C2*E2</f>
        <v>2138318.944735935</v>
      </c>
      <c r="H2" s="171">
        <f>D2*F2</f>
        <v>2138318.944735935</v>
      </c>
      <c r="I2" s="172">
        <f>G2-H2</f>
        <v>0</v>
      </c>
    </row>
    <row r="3" spans="1:9" ht="12">
      <c r="A3" s="169">
        <v>-1</v>
      </c>
      <c r="B3" s="170">
        <v>2019</v>
      </c>
      <c r="C3" s="171">
        <f>'Avoided Truck Miles'!D4+'Avoided Truck Miles'!J4</f>
        <v>93001.66862857046</v>
      </c>
      <c r="D3" s="171">
        <f>'Avoided Truck Miles'!E4+'Avoided Truck Miles'!K4</f>
        <v>93001.66862857046</v>
      </c>
      <c r="E3" s="171">
        <f>Inputs!$B$28</f>
        <v>25</v>
      </c>
      <c r="F3" s="171">
        <f>E3</f>
        <v>25</v>
      </c>
      <c r="G3" s="171">
        <f aca="true" t="shared" si="0" ref="G3:G33">C3*E3</f>
        <v>2325041.7157142614</v>
      </c>
      <c r="H3" s="171">
        <f aca="true" t="shared" si="1" ref="H3:H33">D3*F3</f>
        <v>2325041.7157142614</v>
      </c>
      <c r="I3" s="172">
        <f aca="true" t="shared" si="2" ref="I3:I33">G3-H3</f>
        <v>0</v>
      </c>
    </row>
    <row r="4" spans="1:9" ht="12">
      <c r="A4" s="169">
        <v>0</v>
      </c>
      <c r="B4" s="170">
        <v>2020</v>
      </c>
      <c r="C4" s="171">
        <f>'Avoided Truck Miles'!D5+'Avoided Truck Miles'!J5</f>
        <v>101122.78139085732</v>
      </c>
      <c r="D4" s="171">
        <f>'Avoided Truck Miles'!E5+'Avoided Truck Miles'!K5</f>
        <v>101122.78139085732</v>
      </c>
      <c r="E4" s="171">
        <f>Inputs!$B$28</f>
        <v>25</v>
      </c>
      <c r="F4" s="171">
        <f>E4</f>
        <v>25</v>
      </c>
      <c r="G4" s="171">
        <f>C4*E4</f>
        <v>2528069.534771433</v>
      </c>
      <c r="H4" s="171">
        <f t="shared" si="1"/>
        <v>2528069.534771433</v>
      </c>
      <c r="I4" s="172">
        <f>G4-H4</f>
        <v>0</v>
      </c>
    </row>
    <row r="5" spans="1:9" ht="12">
      <c r="A5" s="169">
        <v>1</v>
      </c>
      <c r="B5" s="170">
        <v>2021</v>
      </c>
      <c r="C5" s="171">
        <f>'Avoided Truck Miles'!D6+'Avoided Truck Miles'!J6</f>
        <v>134953.0478002812</v>
      </c>
      <c r="D5" s="171">
        <f>'Avoided Truck Miles'!E6+'Avoided Truck Miles'!K6</f>
        <v>48014.83443949083</v>
      </c>
      <c r="E5" s="171">
        <f>Inputs!$B$28</f>
        <v>25</v>
      </c>
      <c r="F5" s="171">
        <f>Inputs!$B$29</f>
        <v>18.75</v>
      </c>
      <c r="G5" s="171">
        <f t="shared" si="0"/>
        <v>3373826.19500703</v>
      </c>
      <c r="H5" s="171">
        <f t="shared" si="1"/>
        <v>900278.145740453</v>
      </c>
      <c r="I5" s="172">
        <f t="shared" si="2"/>
        <v>2473548.0492665768</v>
      </c>
    </row>
    <row r="6" spans="1:9" ht="12">
      <c r="A6" s="169">
        <v>2</v>
      </c>
      <c r="B6" s="170">
        <v>2022</v>
      </c>
      <c r="C6" s="171">
        <f>'Avoided Truck Miles'!D7+'Avoided Truck Miles'!J7</f>
        <v>153703.0478002812</v>
      </c>
      <c r="D6" s="171">
        <f>'Avoided Truck Miles'!E7+'Avoided Truck Miles'!K7</f>
        <v>57389.83443949083</v>
      </c>
      <c r="E6" s="171">
        <f>Inputs!$B$28</f>
        <v>25</v>
      </c>
      <c r="F6" s="171">
        <f>Inputs!$B$29</f>
        <v>18.75</v>
      </c>
      <c r="G6" s="171">
        <f t="shared" si="0"/>
        <v>3842576.19500703</v>
      </c>
      <c r="H6" s="171">
        <f t="shared" si="1"/>
        <v>1076059.395740453</v>
      </c>
      <c r="I6" s="172">
        <f t="shared" si="2"/>
        <v>2766516.7992665768</v>
      </c>
    </row>
    <row r="7" spans="1:9" ht="12">
      <c r="A7" s="169">
        <v>3</v>
      </c>
      <c r="B7" s="170">
        <v>2023</v>
      </c>
      <c r="C7" s="171">
        <f>'Avoided Truck Miles'!D8+'Avoided Truck Miles'!J8</f>
        <v>172453.0478002812</v>
      </c>
      <c r="D7" s="171">
        <f>'Avoided Truck Miles'!E8+'Avoided Truck Miles'!K8</f>
        <v>66764.83443949083</v>
      </c>
      <c r="E7" s="171">
        <f>Inputs!$B$28</f>
        <v>25</v>
      </c>
      <c r="F7" s="171">
        <f>Inputs!$B$29</f>
        <v>18.75</v>
      </c>
      <c r="G7" s="171">
        <f t="shared" si="0"/>
        <v>4311326.19500703</v>
      </c>
      <c r="H7" s="171">
        <f t="shared" si="1"/>
        <v>1251840.6457404532</v>
      </c>
      <c r="I7" s="172">
        <f t="shared" si="2"/>
        <v>3059485.5492665768</v>
      </c>
    </row>
    <row r="8" spans="1:9" ht="12">
      <c r="A8" s="169">
        <v>4</v>
      </c>
      <c r="B8" s="170">
        <v>2024</v>
      </c>
      <c r="C8" s="171">
        <f>'Avoided Truck Miles'!D9+'Avoided Truck Miles'!J9</f>
        <v>191203.0478002812</v>
      </c>
      <c r="D8" s="171">
        <f>'Avoided Truck Miles'!E9+'Avoided Truck Miles'!K9</f>
        <v>76139.83443949083</v>
      </c>
      <c r="E8" s="171">
        <f>Inputs!$B$28</f>
        <v>25</v>
      </c>
      <c r="F8" s="171">
        <f>Inputs!$B$29</f>
        <v>18.75</v>
      </c>
      <c r="G8" s="171">
        <f t="shared" si="0"/>
        <v>4780076.19500703</v>
      </c>
      <c r="H8" s="171">
        <f t="shared" si="1"/>
        <v>1427621.8957404532</v>
      </c>
      <c r="I8" s="172">
        <f t="shared" si="2"/>
        <v>3352454.2992665768</v>
      </c>
    </row>
    <row r="9" spans="1:9" ht="12">
      <c r="A9" s="169">
        <v>5</v>
      </c>
      <c r="B9" s="170">
        <v>2025</v>
      </c>
      <c r="C9" s="171">
        <f>'Avoided Truck Miles'!D10+'Avoided Truck Miles'!J10</f>
        <v>209953.0478002812</v>
      </c>
      <c r="D9" s="171">
        <f>'Avoided Truck Miles'!E10+'Avoided Truck Miles'!K10</f>
        <v>85514.83443949083</v>
      </c>
      <c r="E9" s="171">
        <f>Inputs!$B$28</f>
        <v>25</v>
      </c>
      <c r="F9" s="171">
        <f>Inputs!$B$29</f>
        <v>18.75</v>
      </c>
      <c r="G9" s="171">
        <f t="shared" si="0"/>
        <v>5248826.19500703</v>
      </c>
      <c r="H9" s="171">
        <f t="shared" si="1"/>
        <v>1603403.1457404532</v>
      </c>
      <c r="I9" s="172">
        <f t="shared" si="2"/>
        <v>3645423.0492665768</v>
      </c>
    </row>
    <row r="10" spans="1:9" ht="12">
      <c r="A10" s="169">
        <v>6</v>
      </c>
      <c r="B10" s="170">
        <v>2026</v>
      </c>
      <c r="C10" s="171">
        <f>'Avoided Truck Miles'!D11+'Avoided Truck Miles'!J11</f>
        <v>209953.0478002812</v>
      </c>
      <c r="D10" s="171">
        <f>'Avoided Truck Miles'!E11+'Avoided Truck Miles'!K11</f>
        <v>85514.83443949083</v>
      </c>
      <c r="E10" s="171">
        <f>Inputs!$B$28</f>
        <v>25</v>
      </c>
      <c r="F10" s="171">
        <f>Inputs!$B$29</f>
        <v>18.75</v>
      </c>
      <c r="G10" s="171">
        <f t="shared" si="0"/>
        <v>5248826.19500703</v>
      </c>
      <c r="H10" s="171">
        <f t="shared" si="1"/>
        <v>1603403.1457404532</v>
      </c>
      <c r="I10" s="172">
        <f t="shared" si="2"/>
        <v>3645423.0492665768</v>
      </c>
    </row>
    <row r="11" spans="1:9" ht="12">
      <c r="A11" s="169">
        <v>7</v>
      </c>
      <c r="B11" s="170">
        <v>2027</v>
      </c>
      <c r="C11" s="171">
        <f>'Avoided Truck Miles'!D12+'Avoided Truck Miles'!J12</f>
        <v>109953.0478002812</v>
      </c>
      <c r="D11" s="171">
        <f>'Avoided Truck Miles'!E12+'Avoided Truck Miles'!K12</f>
        <v>35514.83443949083</v>
      </c>
      <c r="E11" s="171">
        <f>Inputs!$B$28</f>
        <v>25</v>
      </c>
      <c r="F11" s="171">
        <f>Inputs!$B$29</f>
        <v>18.75</v>
      </c>
      <c r="G11" s="171">
        <f t="shared" si="0"/>
        <v>2748826.19500703</v>
      </c>
      <c r="H11" s="171">
        <f t="shared" si="1"/>
        <v>665903.145740453</v>
      </c>
      <c r="I11" s="172">
        <f t="shared" si="2"/>
        <v>2082923.0492665768</v>
      </c>
    </row>
    <row r="12" spans="1:9" ht="12">
      <c r="A12" s="169">
        <v>8</v>
      </c>
      <c r="B12" s="170">
        <v>2028</v>
      </c>
      <c r="C12" s="171">
        <f>'Avoided Truck Miles'!D13+'Avoided Truck Miles'!J13</f>
        <v>109953.0478002812</v>
      </c>
      <c r="D12" s="171">
        <f>'Avoided Truck Miles'!E13+'Avoided Truck Miles'!K13</f>
        <v>35514.83443949083</v>
      </c>
      <c r="E12" s="171">
        <f>Inputs!$B$28</f>
        <v>25</v>
      </c>
      <c r="F12" s="171">
        <f>Inputs!$B$29</f>
        <v>18.75</v>
      </c>
      <c r="G12" s="171">
        <f t="shared" si="0"/>
        <v>2748826.19500703</v>
      </c>
      <c r="H12" s="171">
        <f t="shared" si="1"/>
        <v>665903.145740453</v>
      </c>
      <c r="I12" s="172">
        <f t="shared" si="2"/>
        <v>2082923.0492665768</v>
      </c>
    </row>
    <row r="13" spans="1:9" ht="12">
      <c r="A13" s="169">
        <v>9</v>
      </c>
      <c r="B13" s="170">
        <v>2029</v>
      </c>
      <c r="C13" s="171">
        <f>'Avoided Truck Miles'!D14+'Avoided Truck Miles'!J14</f>
        <v>109953.0478002812</v>
      </c>
      <c r="D13" s="171">
        <f>'Avoided Truck Miles'!E14+'Avoided Truck Miles'!K14</f>
        <v>35514.83443949083</v>
      </c>
      <c r="E13" s="171">
        <f>Inputs!$B$28</f>
        <v>25</v>
      </c>
      <c r="F13" s="171">
        <f>Inputs!$B$29</f>
        <v>18.75</v>
      </c>
      <c r="G13" s="171">
        <f t="shared" si="0"/>
        <v>2748826.19500703</v>
      </c>
      <c r="H13" s="171">
        <f t="shared" si="1"/>
        <v>665903.145740453</v>
      </c>
      <c r="I13" s="172">
        <f t="shared" si="2"/>
        <v>2082923.0492665768</v>
      </c>
    </row>
    <row r="14" spans="1:9" ht="12">
      <c r="A14" s="169">
        <v>10</v>
      </c>
      <c r="B14" s="170">
        <v>2030</v>
      </c>
      <c r="C14" s="171">
        <f>'Avoided Truck Miles'!D15+'Avoided Truck Miles'!J15</f>
        <v>109953.0478002812</v>
      </c>
      <c r="D14" s="171">
        <f>'Avoided Truck Miles'!E15+'Avoided Truck Miles'!K15</f>
        <v>35514.83443949083</v>
      </c>
      <c r="E14" s="171">
        <f>Inputs!$B$28</f>
        <v>25</v>
      </c>
      <c r="F14" s="171">
        <f>Inputs!$B$29</f>
        <v>18.75</v>
      </c>
      <c r="G14" s="171">
        <f t="shared" si="0"/>
        <v>2748826.19500703</v>
      </c>
      <c r="H14" s="171">
        <f t="shared" si="1"/>
        <v>665903.145740453</v>
      </c>
      <c r="I14" s="172">
        <f t="shared" si="2"/>
        <v>2082923.0492665768</v>
      </c>
    </row>
    <row r="15" spans="1:9" ht="12">
      <c r="A15" s="169">
        <v>11</v>
      </c>
      <c r="B15" s="170">
        <v>2031</v>
      </c>
      <c r="C15" s="171">
        <f>'Avoided Truck Miles'!D16+'Avoided Truck Miles'!J16</f>
        <v>109953.0478002812</v>
      </c>
      <c r="D15" s="171">
        <f>'Avoided Truck Miles'!E16+'Avoided Truck Miles'!K16</f>
        <v>35514.83443949083</v>
      </c>
      <c r="E15" s="171">
        <f>Inputs!$B$28</f>
        <v>25</v>
      </c>
      <c r="F15" s="171">
        <f>Inputs!$B$29</f>
        <v>18.75</v>
      </c>
      <c r="G15" s="171">
        <f t="shared" si="0"/>
        <v>2748826.19500703</v>
      </c>
      <c r="H15" s="171">
        <f t="shared" si="1"/>
        <v>665903.145740453</v>
      </c>
      <c r="I15" s="172">
        <f t="shared" si="2"/>
        <v>2082923.0492665768</v>
      </c>
    </row>
    <row r="16" spans="1:9" ht="12">
      <c r="A16" s="169">
        <v>12</v>
      </c>
      <c r="B16" s="170">
        <v>2032</v>
      </c>
      <c r="C16" s="171">
        <f>'Avoided Truck Miles'!D17+'Avoided Truck Miles'!J17</f>
        <v>109953.0478002812</v>
      </c>
      <c r="D16" s="171">
        <f>'Avoided Truck Miles'!E17+'Avoided Truck Miles'!K17</f>
        <v>35514.83443949083</v>
      </c>
      <c r="E16" s="171">
        <f>Inputs!$B$28</f>
        <v>25</v>
      </c>
      <c r="F16" s="171">
        <f>Inputs!$B$29</f>
        <v>18.75</v>
      </c>
      <c r="G16" s="171">
        <f t="shared" si="0"/>
        <v>2748826.19500703</v>
      </c>
      <c r="H16" s="171">
        <f t="shared" si="1"/>
        <v>665903.145740453</v>
      </c>
      <c r="I16" s="172">
        <f t="shared" si="2"/>
        <v>2082923.0492665768</v>
      </c>
    </row>
    <row r="17" spans="1:9" ht="12">
      <c r="A17" s="169">
        <v>13</v>
      </c>
      <c r="B17" s="170">
        <v>2033</v>
      </c>
      <c r="C17" s="171">
        <f>'Avoided Truck Miles'!D18+'Avoided Truck Miles'!J18</f>
        <v>109953.0478002812</v>
      </c>
      <c r="D17" s="171">
        <f>'Avoided Truck Miles'!E18+'Avoided Truck Miles'!K18</f>
        <v>35514.83443949083</v>
      </c>
      <c r="E17" s="171">
        <f>Inputs!$B$28</f>
        <v>25</v>
      </c>
      <c r="F17" s="171">
        <f>Inputs!$B$29</f>
        <v>18.75</v>
      </c>
      <c r="G17" s="171">
        <f t="shared" si="0"/>
        <v>2748826.19500703</v>
      </c>
      <c r="H17" s="171">
        <f t="shared" si="1"/>
        <v>665903.145740453</v>
      </c>
      <c r="I17" s="172">
        <f t="shared" si="2"/>
        <v>2082923.0492665768</v>
      </c>
    </row>
    <row r="18" spans="1:9" ht="12">
      <c r="A18" s="169">
        <v>14</v>
      </c>
      <c r="B18" s="170">
        <v>2034</v>
      </c>
      <c r="C18" s="171">
        <f>'Avoided Truck Miles'!D19+'Avoided Truck Miles'!J19</f>
        <v>109953.0478002812</v>
      </c>
      <c r="D18" s="171">
        <f>'Avoided Truck Miles'!E19+'Avoided Truck Miles'!K19</f>
        <v>35514.83443949083</v>
      </c>
      <c r="E18" s="171">
        <f>Inputs!$B$28</f>
        <v>25</v>
      </c>
      <c r="F18" s="171">
        <f>Inputs!$B$29</f>
        <v>18.75</v>
      </c>
      <c r="G18" s="171">
        <f t="shared" si="0"/>
        <v>2748826.19500703</v>
      </c>
      <c r="H18" s="171">
        <f t="shared" si="1"/>
        <v>665903.145740453</v>
      </c>
      <c r="I18" s="172">
        <f t="shared" si="2"/>
        <v>2082923.0492665768</v>
      </c>
    </row>
    <row r="19" spans="1:9" ht="12">
      <c r="A19" s="169">
        <v>15</v>
      </c>
      <c r="B19" s="170">
        <v>2035</v>
      </c>
      <c r="C19" s="171">
        <f>'Avoided Truck Miles'!D20+'Avoided Truck Miles'!J20</f>
        <v>109953.0478002812</v>
      </c>
      <c r="D19" s="171">
        <f>'Avoided Truck Miles'!E20+'Avoided Truck Miles'!K20</f>
        <v>35514.83443949083</v>
      </c>
      <c r="E19" s="171">
        <f>Inputs!$B$28</f>
        <v>25</v>
      </c>
      <c r="F19" s="171">
        <f>Inputs!$B$29</f>
        <v>18.75</v>
      </c>
      <c r="G19" s="171">
        <f t="shared" si="0"/>
        <v>2748826.19500703</v>
      </c>
      <c r="H19" s="171">
        <f t="shared" si="1"/>
        <v>665903.145740453</v>
      </c>
      <c r="I19" s="172">
        <f t="shared" si="2"/>
        <v>2082923.0492665768</v>
      </c>
    </row>
    <row r="20" spans="1:9" ht="12">
      <c r="A20" s="169">
        <v>16</v>
      </c>
      <c r="B20" s="170">
        <v>2036</v>
      </c>
      <c r="C20" s="171">
        <f>'Avoided Truck Miles'!D21+'Avoided Truck Miles'!J21</f>
        <v>109953.0478002812</v>
      </c>
      <c r="D20" s="171">
        <f>'Avoided Truck Miles'!E21+'Avoided Truck Miles'!K21</f>
        <v>35514.83443949083</v>
      </c>
      <c r="E20" s="171">
        <f>Inputs!$B$28</f>
        <v>25</v>
      </c>
      <c r="F20" s="171">
        <f>Inputs!$B$29</f>
        <v>18.75</v>
      </c>
      <c r="G20" s="171">
        <f t="shared" si="0"/>
        <v>2748826.19500703</v>
      </c>
      <c r="H20" s="171">
        <f t="shared" si="1"/>
        <v>665903.145740453</v>
      </c>
      <c r="I20" s="172">
        <f t="shared" si="2"/>
        <v>2082923.0492665768</v>
      </c>
    </row>
    <row r="21" spans="1:9" ht="12">
      <c r="A21" s="169">
        <v>17</v>
      </c>
      <c r="B21" s="170">
        <v>2037</v>
      </c>
      <c r="C21" s="171">
        <f>'Avoided Truck Miles'!D22+'Avoided Truck Miles'!J22</f>
        <v>109953.0478002812</v>
      </c>
      <c r="D21" s="171">
        <f>'Avoided Truck Miles'!E22+'Avoided Truck Miles'!K22</f>
        <v>35514.83443949083</v>
      </c>
      <c r="E21" s="171">
        <f>Inputs!$B$28</f>
        <v>25</v>
      </c>
      <c r="F21" s="171">
        <f>Inputs!$B$29</f>
        <v>18.75</v>
      </c>
      <c r="G21" s="171">
        <f t="shared" si="0"/>
        <v>2748826.19500703</v>
      </c>
      <c r="H21" s="171">
        <f t="shared" si="1"/>
        <v>665903.145740453</v>
      </c>
      <c r="I21" s="172">
        <f t="shared" si="2"/>
        <v>2082923.0492665768</v>
      </c>
    </row>
    <row r="22" spans="1:9" ht="12">
      <c r="A22" s="169">
        <v>18</v>
      </c>
      <c r="B22" s="170">
        <v>2038</v>
      </c>
      <c r="C22" s="171">
        <f>'Avoided Truck Miles'!D23+'Avoided Truck Miles'!J23</f>
        <v>109953.0478002812</v>
      </c>
      <c r="D22" s="171">
        <f>'Avoided Truck Miles'!E23+'Avoided Truck Miles'!K23</f>
        <v>35514.83443949083</v>
      </c>
      <c r="E22" s="171">
        <f>Inputs!$B$28</f>
        <v>25</v>
      </c>
      <c r="F22" s="171">
        <f>Inputs!$B$29</f>
        <v>18.75</v>
      </c>
      <c r="G22" s="171">
        <f t="shared" si="0"/>
        <v>2748826.19500703</v>
      </c>
      <c r="H22" s="171">
        <f t="shared" si="1"/>
        <v>665903.145740453</v>
      </c>
      <c r="I22" s="172">
        <f t="shared" si="2"/>
        <v>2082923.0492665768</v>
      </c>
    </row>
    <row r="23" spans="1:9" ht="12">
      <c r="A23" s="169">
        <v>19</v>
      </c>
      <c r="B23" s="170">
        <v>2039</v>
      </c>
      <c r="C23" s="171">
        <f>'Avoided Truck Miles'!D24+'Avoided Truck Miles'!J24</f>
        <v>109953.0478002812</v>
      </c>
      <c r="D23" s="171">
        <f>'Avoided Truck Miles'!E24+'Avoided Truck Miles'!K24</f>
        <v>35514.83443949083</v>
      </c>
      <c r="E23" s="171">
        <f>Inputs!$B$28</f>
        <v>25</v>
      </c>
      <c r="F23" s="171">
        <f>Inputs!$B$29</f>
        <v>18.75</v>
      </c>
      <c r="G23" s="171">
        <f t="shared" si="0"/>
        <v>2748826.19500703</v>
      </c>
      <c r="H23" s="171">
        <f t="shared" si="1"/>
        <v>665903.145740453</v>
      </c>
      <c r="I23" s="172">
        <f t="shared" si="2"/>
        <v>2082923.0492665768</v>
      </c>
    </row>
    <row r="24" spans="1:9" ht="12">
      <c r="A24" s="169">
        <v>20</v>
      </c>
      <c r="B24" s="170">
        <v>2040</v>
      </c>
      <c r="C24" s="171">
        <f>'Avoided Truck Miles'!D25+'Avoided Truck Miles'!J25</f>
        <v>109953.0478002812</v>
      </c>
      <c r="D24" s="171">
        <f>'Avoided Truck Miles'!E25+'Avoided Truck Miles'!K25</f>
        <v>35514.83443949083</v>
      </c>
      <c r="E24" s="171">
        <f>Inputs!$B$28</f>
        <v>25</v>
      </c>
      <c r="F24" s="171">
        <f>Inputs!$B$29</f>
        <v>18.75</v>
      </c>
      <c r="G24" s="171">
        <f t="shared" si="0"/>
        <v>2748826.19500703</v>
      </c>
      <c r="H24" s="171">
        <f t="shared" si="1"/>
        <v>665903.145740453</v>
      </c>
      <c r="I24" s="172">
        <f t="shared" si="2"/>
        <v>2082923.0492665768</v>
      </c>
    </row>
    <row r="25" spans="1:9" ht="12">
      <c r="A25" s="169">
        <v>21</v>
      </c>
      <c r="B25" s="170">
        <v>2041</v>
      </c>
      <c r="C25" s="171">
        <f>'Avoided Truck Miles'!D26+'Avoided Truck Miles'!J26</f>
        <v>109953.0478002812</v>
      </c>
      <c r="D25" s="171">
        <f>'Avoided Truck Miles'!E26+'Avoided Truck Miles'!K26</f>
        <v>35514.83443949083</v>
      </c>
      <c r="E25" s="171">
        <f>Inputs!$B$28</f>
        <v>25</v>
      </c>
      <c r="F25" s="171">
        <f>Inputs!$B$29</f>
        <v>18.75</v>
      </c>
      <c r="G25" s="171">
        <f t="shared" si="0"/>
        <v>2748826.19500703</v>
      </c>
      <c r="H25" s="171">
        <f t="shared" si="1"/>
        <v>665903.145740453</v>
      </c>
      <c r="I25" s="172">
        <f t="shared" si="2"/>
        <v>2082923.0492665768</v>
      </c>
    </row>
    <row r="26" spans="1:9" ht="12">
      <c r="A26" s="169">
        <v>22</v>
      </c>
      <c r="B26" s="170">
        <v>2042</v>
      </c>
      <c r="C26" s="171">
        <f>'Avoided Truck Miles'!D27+'Avoided Truck Miles'!J27</f>
        <v>109953.0478002812</v>
      </c>
      <c r="D26" s="171">
        <f>'Avoided Truck Miles'!E27+'Avoided Truck Miles'!K27</f>
        <v>35514.83443949083</v>
      </c>
      <c r="E26" s="171">
        <f>Inputs!$B$28</f>
        <v>25</v>
      </c>
      <c r="F26" s="171">
        <f>Inputs!$B$29</f>
        <v>18.75</v>
      </c>
      <c r="G26" s="171">
        <f t="shared" si="0"/>
        <v>2748826.19500703</v>
      </c>
      <c r="H26" s="171">
        <f t="shared" si="1"/>
        <v>665903.145740453</v>
      </c>
      <c r="I26" s="172">
        <f t="shared" si="2"/>
        <v>2082923.0492665768</v>
      </c>
    </row>
    <row r="27" spans="1:9" ht="12">
      <c r="A27" s="169">
        <v>23</v>
      </c>
      <c r="B27" s="170">
        <v>2043</v>
      </c>
      <c r="C27" s="171">
        <f>'Avoided Truck Miles'!D28+'Avoided Truck Miles'!J28</f>
        <v>109953.0478002812</v>
      </c>
      <c r="D27" s="171">
        <f>'Avoided Truck Miles'!E28+'Avoided Truck Miles'!K28</f>
        <v>35514.83443949083</v>
      </c>
      <c r="E27" s="171">
        <f>Inputs!$B$28</f>
        <v>25</v>
      </c>
      <c r="F27" s="171">
        <f>Inputs!$B$29</f>
        <v>18.75</v>
      </c>
      <c r="G27" s="171">
        <f t="shared" si="0"/>
        <v>2748826.19500703</v>
      </c>
      <c r="H27" s="171">
        <f t="shared" si="1"/>
        <v>665903.145740453</v>
      </c>
      <c r="I27" s="172">
        <f t="shared" si="2"/>
        <v>2082923.0492665768</v>
      </c>
    </row>
    <row r="28" spans="1:9" ht="12">
      <c r="A28" s="169">
        <v>24</v>
      </c>
      <c r="B28" s="170">
        <v>2044</v>
      </c>
      <c r="C28" s="171">
        <f>'Avoided Truck Miles'!D29+'Avoided Truck Miles'!J29</f>
        <v>109953.0478002812</v>
      </c>
      <c r="D28" s="171">
        <f>'Avoided Truck Miles'!E29+'Avoided Truck Miles'!K29</f>
        <v>35514.83443949083</v>
      </c>
      <c r="E28" s="171">
        <f>Inputs!$B$28</f>
        <v>25</v>
      </c>
      <c r="F28" s="171">
        <f>Inputs!$B$29</f>
        <v>18.75</v>
      </c>
      <c r="G28" s="171">
        <f t="shared" si="0"/>
        <v>2748826.19500703</v>
      </c>
      <c r="H28" s="171">
        <f t="shared" si="1"/>
        <v>665903.145740453</v>
      </c>
      <c r="I28" s="172">
        <f t="shared" si="2"/>
        <v>2082923.0492665768</v>
      </c>
    </row>
    <row r="29" spans="1:9" ht="12">
      <c r="A29" s="169">
        <v>25</v>
      </c>
      <c r="B29" s="170">
        <v>2045</v>
      </c>
      <c r="C29" s="171">
        <f>'Avoided Truck Miles'!D30+'Avoided Truck Miles'!J30</f>
        <v>109953.0478002812</v>
      </c>
      <c r="D29" s="171">
        <f>'Avoided Truck Miles'!E30+'Avoided Truck Miles'!K30</f>
        <v>35514.83443949083</v>
      </c>
      <c r="E29" s="171">
        <f>Inputs!$B$28</f>
        <v>25</v>
      </c>
      <c r="F29" s="171">
        <f>Inputs!$B$29</f>
        <v>18.75</v>
      </c>
      <c r="G29" s="171">
        <f t="shared" si="0"/>
        <v>2748826.19500703</v>
      </c>
      <c r="H29" s="171">
        <f t="shared" si="1"/>
        <v>665903.145740453</v>
      </c>
      <c r="I29" s="172">
        <f t="shared" si="2"/>
        <v>2082923.0492665768</v>
      </c>
    </row>
    <row r="30" spans="1:9" ht="12">
      <c r="A30" s="169">
        <v>26</v>
      </c>
      <c r="B30" s="170">
        <v>2046</v>
      </c>
      <c r="C30" s="171">
        <f>'Avoided Truck Miles'!D31+'Avoided Truck Miles'!J31</f>
        <v>109953.0478002812</v>
      </c>
      <c r="D30" s="171">
        <f>'Avoided Truck Miles'!E31+'Avoided Truck Miles'!K31</f>
        <v>35514.83443949083</v>
      </c>
      <c r="E30" s="171">
        <f>Inputs!$B$28</f>
        <v>25</v>
      </c>
      <c r="F30" s="171">
        <f>Inputs!$B$29</f>
        <v>18.75</v>
      </c>
      <c r="G30" s="171">
        <f t="shared" si="0"/>
        <v>2748826.19500703</v>
      </c>
      <c r="H30" s="171">
        <f t="shared" si="1"/>
        <v>665903.145740453</v>
      </c>
      <c r="I30" s="172">
        <f t="shared" si="2"/>
        <v>2082923.0492665768</v>
      </c>
    </row>
    <row r="31" spans="1:9" ht="12">
      <c r="A31" s="169">
        <v>27</v>
      </c>
      <c r="B31" s="170">
        <v>2047</v>
      </c>
      <c r="C31" s="171">
        <f>'Avoided Truck Miles'!D32+'Avoided Truck Miles'!J32</f>
        <v>109953.0478002812</v>
      </c>
      <c r="D31" s="171">
        <f>'Avoided Truck Miles'!E32+'Avoided Truck Miles'!K32</f>
        <v>35514.83443949083</v>
      </c>
      <c r="E31" s="171">
        <f>Inputs!$B$28</f>
        <v>25</v>
      </c>
      <c r="F31" s="171">
        <f>Inputs!$B$29</f>
        <v>18.75</v>
      </c>
      <c r="G31" s="171">
        <f t="shared" si="0"/>
        <v>2748826.19500703</v>
      </c>
      <c r="H31" s="171">
        <f t="shared" si="1"/>
        <v>665903.145740453</v>
      </c>
      <c r="I31" s="172">
        <f t="shared" si="2"/>
        <v>2082923.0492665768</v>
      </c>
    </row>
    <row r="32" spans="1:9" ht="12">
      <c r="A32" s="169">
        <v>28</v>
      </c>
      <c r="B32" s="170">
        <v>2048</v>
      </c>
      <c r="C32" s="171">
        <f>'Avoided Truck Miles'!D33+'Avoided Truck Miles'!J33</f>
        <v>109953.0478002812</v>
      </c>
      <c r="D32" s="171">
        <f>'Avoided Truck Miles'!E33+'Avoided Truck Miles'!K33</f>
        <v>35514.83443949083</v>
      </c>
      <c r="E32" s="171">
        <f>Inputs!$B$28</f>
        <v>25</v>
      </c>
      <c r="F32" s="171">
        <f>Inputs!$B$29</f>
        <v>18.75</v>
      </c>
      <c r="G32" s="171">
        <f t="shared" si="0"/>
        <v>2748826.19500703</v>
      </c>
      <c r="H32" s="171">
        <f t="shared" si="1"/>
        <v>665903.145740453</v>
      </c>
      <c r="I32" s="172">
        <f t="shared" si="2"/>
        <v>2082923.0492665768</v>
      </c>
    </row>
    <row r="33" spans="1:9" ht="12">
      <c r="A33" s="169">
        <v>29</v>
      </c>
      <c r="B33" s="170">
        <v>2049</v>
      </c>
      <c r="C33" s="171">
        <f>'Avoided Truck Miles'!D34+'Avoided Truck Miles'!J34</f>
        <v>109953.0478002812</v>
      </c>
      <c r="D33" s="171">
        <f>'Avoided Truck Miles'!E34+'Avoided Truck Miles'!K34</f>
        <v>35514.83443949083</v>
      </c>
      <c r="E33" s="171">
        <f>Inputs!$B$28</f>
        <v>25</v>
      </c>
      <c r="F33" s="171">
        <f>Inputs!$B$29</f>
        <v>18.75</v>
      </c>
      <c r="G33" s="171">
        <f t="shared" si="0"/>
        <v>2748826.19500703</v>
      </c>
      <c r="H33" s="171">
        <f t="shared" si="1"/>
        <v>665903.145740453</v>
      </c>
      <c r="I33" s="172">
        <f t="shared" si="2"/>
        <v>2082923.0492665768</v>
      </c>
    </row>
    <row r="34" spans="1:9" ht="12">
      <c r="A34" s="469">
        <v>30</v>
      </c>
      <c r="B34" s="470">
        <v>2050</v>
      </c>
      <c r="C34" s="171">
        <f>'Avoided Truck Miles'!D35+'Avoided Truck Miles'!J35</f>
        <v>109953.0478002812</v>
      </c>
      <c r="D34" s="171">
        <f>'Avoided Truck Miles'!E35+'Avoided Truck Miles'!K35</f>
        <v>35514.83443949083</v>
      </c>
      <c r="E34" s="171">
        <f>Inputs!$B$28</f>
        <v>25</v>
      </c>
      <c r="F34" s="171">
        <f>Inputs!$B$29</f>
        <v>18.75</v>
      </c>
      <c r="G34" s="171">
        <f>C34*E34</f>
        <v>2748826.19500703</v>
      </c>
      <c r="H34" s="171">
        <f>D34*F34</f>
        <v>665903.145740453</v>
      </c>
      <c r="I34" s="172">
        <f>G34-H34</f>
        <v>2082923.0492665768</v>
      </c>
    </row>
    <row r="35" spans="1:9" s="198" customFormat="1" ht="12.75" thickBot="1">
      <c r="A35" s="622" t="s">
        <v>136</v>
      </c>
      <c r="B35" s="623"/>
      <c r="C35" s="194">
        <f>SUM(C2:C34)</f>
        <v>3990748.6418172983</v>
      </c>
      <c r="D35" s="194">
        <f>SUM(D2:D34)</f>
        <v>1551352.240993591</v>
      </c>
      <c r="E35" s="194"/>
      <c r="F35" s="194"/>
      <c r="G35" s="194">
        <f>SUM(G2:G34)</f>
        <v>99768716.04543243</v>
      </c>
      <c r="H35" s="194">
        <f>SUM(H2:H34)</f>
        <v>30835712.067435224</v>
      </c>
      <c r="I35" s="195">
        <f>SUM(I2:I34)</f>
        <v>68933003.9779973</v>
      </c>
    </row>
    <row r="36" ht="12.75" thickBot="1"/>
    <row r="37" spans="1:9" ht="72">
      <c r="A37" s="156" t="s">
        <v>64</v>
      </c>
      <c r="B37" s="157" t="s">
        <v>1</v>
      </c>
      <c r="C37" s="182" t="s">
        <v>478</v>
      </c>
      <c r="D37" s="182" t="s">
        <v>479</v>
      </c>
      <c r="E37" s="182" t="s">
        <v>186</v>
      </c>
      <c r="F37" s="182" t="s">
        <v>187</v>
      </c>
      <c r="G37" s="182" t="s">
        <v>188</v>
      </c>
      <c r="H37" s="182" t="s">
        <v>189</v>
      </c>
      <c r="I37" s="183" t="s">
        <v>190</v>
      </c>
    </row>
    <row r="38" spans="1:9" ht="12">
      <c r="A38" s="169">
        <v>-2</v>
      </c>
      <c r="B38" s="170">
        <v>2018</v>
      </c>
      <c r="C38" s="171">
        <f>ROUND(C2,-3)</f>
        <v>86000</v>
      </c>
      <c r="D38" s="171">
        <f aca="true" t="shared" si="3" ref="D38:I38">ROUND(D2,-3)</f>
        <v>86000</v>
      </c>
      <c r="E38" s="171">
        <f t="shared" si="3"/>
        <v>0</v>
      </c>
      <c r="F38" s="171">
        <f t="shared" si="3"/>
        <v>0</v>
      </c>
      <c r="G38" s="171">
        <f t="shared" si="3"/>
        <v>2138000</v>
      </c>
      <c r="H38" s="171">
        <f t="shared" si="3"/>
        <v>2138000</v>
      </c>
      <c r="I38" s="172">
        <f t="shared" si="3"/>
        <v>0</v>
      </c>
    </row>
    <row r="39" spans="1:9" ht="12">
      <c r="A39" s="169">
        <v>-1</v>
      </c>
      <c r="B39" s="170">
        <v>2019</v>
      </c>
      <c r="C39" s="171">
        <f aca="true" t="shared" si="4" ref="C39:I39">ROUND(C3,-3)</f>
        <v>93000</v>
      </c>
      <c r="D39" s="171">
        <f t="shared" si="4"/>
        <v>93000</v>
      </c>
      <c r="E39" s="171">
        <f t="shared" si="4"/>
        <v>0</v>
      </c>
      <c r="F39" s="171">
        <f t="shared" si="4"/>
        <v>0</v>
      </c>
      <c r="G39" s="171">
        <f t="shared" si="4"/>
        <v>2325000</v>
      </c>
      <c r="H39" s="171">
        <f t="shared" si="4"/>
        <v>2325000</v>
      </c>
      <c r="I39" s="172">
        <f t="shared" si="4"/>
        <v>0</v>
      </c>
    </row>
    <row r="40" spans="1:9" ht="12">
      <c r="A40" s="169">
        <v>0</v>
      </c>
      <c r="B40" s="170">
        <v>2020</v>
      </c>
      <c r="C40" s="171">
        <f aca="true" t="shared" si="5" ref="C40:I40">ROUND(C4,-3)</f>
        <v>101000</v>
      </c>
      <c r="D40" s="171">
        <f t="shared" si="5"/>
        <v>101000</v>
      </c>
      <c r="E40" s="171">
        <f t="shared" si="5"/>
        <v>0</v>
      </c>
      <c r="F40" s="171">
        <f t="shared" si="5"/>
        <v>0</v>
      </c>
      <c r="G40" s="171">
        <f t="shared" si="5"/>
        <v>2528000</v>
      </c>
      <c r="H40" s="171">
        <f t="shared" si="5"/>
        <v>2528000</v>
      </c>
      <c r="I40" s="172">
        <f t="shared" si="5"/>
        <v>0</v>
      </c>
    </row>
    <row r="41" spans="1:9" ht="12">
      <c r="A41" s="169">
        <v>1</v>
      </c>
      <c r="B41" s="170">
        <v>2021</v>
      </c>
      <c r="C41" s="171">
        <f aca="true" t="shared" si="6" ref="C41:I41">ROUND(C5,-3)</f>
        <v>135000</v>
      </c>
      <c r="D41" s="171">
        <f t="shared" si="6"/>
        <v>48000</v>
      </c>
      <c r="E41" s="171">
        <f t="shared" si="6"/>
        <v>0</v>
      </c>
      <c r="F41" s="171">
        <f t="shared" si="6"/>
        <v>0</v>
      </c>
      <c r="G41" s="171">
        <f t="shared" si="6"/>
        <v>3374000</v>
      </c>
      <c r="H41" s="171">
        <f t="shared" si="6"/>
        <v>900000</v>
      </c>
      <c r="I41" s="172">
        <f t="shared" si="6"/>
        <v>2474000</v>
      </c>
    </row>
    <row r="42" spans="1:9" ht="12">
      <c r="A42" s="169">
        <v>2</v>
      </c>
      <c r="B42" s="170">
        <v>2022</v>
      </c>
      <c r="C42" s="171">
        <f aca="true" t="shared" si="7" ref="C42:I42">ROUND(C6,-3)</f>
        <v>154000</v>
      </c>
      <c r="D42" s="171">
        <f t="shared" si="7"/>
        <v>57000</v>
      </c>
      <c r="E42" s="171">
        <f t="shared" si="7"/>
        <v>0</v>
      </c>
      <c r="F42" s="171">
        <f t="shared" si="7"/>
        <v>0</v>
      </c>
      <c r="G42" s="171">
        <f t="shared" si="7"/>
        <v>3843000</v>
      </c>
      <c r="H42" s="171">
        <f t="shared" si="7"/>
        <v>1076000</v>
      </c>
      <c r="I42" s="172">
        <f t="shared" si="7"/>
        <v>2767000</v>
      </c>
    </row>
    <row r="43" spans="1:9" ht="12">
      <c r="A43" s="169">
        <v>3</v>
      </c>
      <c r="B43" s="170">
        <v>2023</v>
      </c>
      <c r="C43" s="171">
        <f aca="true" t="shared" si="8" ref="C43:I43">ROUND(C7,-3)</f>
        <v>172000</v>
      </c>
      <c r="D43" s="171">
        <f t="shared" si="8"/>
        <v>67000</v>
      </c>
      <c r="E43" s="171">
        <f t="shared" si="8"/>
        <v>0</v>
      </c>
      <c r="F43" s="171">
        <f t="shared" si="8"/>
        <v>0</v>
      </c>
      <c r="G43" s="171">
        <f t="shared" si="8"/>
        <v>4311000</v>
      </c>
      <c r="H43" s="171">
        <f t="shared" si="8"/>
        <v>1252000</v>
      </c>
      <c r="I43" s="172">
        <f t="shared" si="8"/>
        <v>3059000</v>
      </c>
    </row>
    <row r="44" spans="1:9" ht="12">
      <c r="A44" s="169">
        <v>4</v>
      </c>
      <c r="B44" s="170">
        <v>2024</v>
      </c>
      <c r="C44" s="171">
        <f aca="true" t="shared" si="9" ref="C44:I44">ROUND(C8,-3)</f>
        <v>191000</v>
      </c>
      <c r="D44" s="171">
        <f t="shared" si="9"/>
        <v>76000</v>
      </c>
      <c r="E44" s="171">
        <f t="shared" si="9"/>
        <v>0</v>
      </c>
      <c r="F44" s="171">
        <f t="shared" si="9"/>
        <v>0</v>
      </c>
      <c r="G44" s="171">
        <f t="shared" si="9"/>
        <v>4780000</v>
      </c>
      <c r="H44" s="171">
        <f t="shared" si="9"/>
        <v>1428000</v>
      </c>
      <c r="I44" s="172">
        <f t="shared" si="9"/>
        <v>3352000</v>
      </c>
    </row>
    <row r="45" spans="1:9" ht="12">
      <c r="A45" s="169">
        <v>5</v>
      </c>
      <c r="B45" s="170">
        <v>2025</v>
      </c>
      <c r="C45" s="171">
        <f aca="true" t="shared" si="10" ref="C45:I45">ROUND(C9,-3)</f>
        <v>210000</v>
      </c>
      <c r="D45" s="171">
        <f t="shared" si="10"/>
        <v>86000</v>
      </c>
      <c r="E45" s="171">
        <f t="shared" si="10"/>
        <v>0</v>
      </c>
      <c r="F45" s="171">
        <f t="shared" si="10"/>
        <v>0</v>
      </c>
      <c r="G45" s="171">
        <f t="shared" si="10"/>
        <v>5249000</v>
      </c>
      <c r="H45" s="171">
        <f t="shared" si="10"/>
        <v>1603000</v>
      </c>
      <c r="I45" s="172">
        <f t="shared" si="10"/>
        <v>3645000</v>
      </c>
    </row>
    <row r="46" spans="1:9" ht="12">
      <c r="A46" s="169">
        <v>6</v>
      </c>
      <c r="B46" s="170">
        <v>2026</v>
      </c>
      <c r="C46" s="171">
        <f aca="true" t="shared" si="11" ref="C46:I46">ROUND(C10,-3)</f>
        <v>210000</v>
      </c>
      <c r="D46" s="171">
        <f t="shared" si="11"/>
        <v>86000</v>
      </c>
      <c r="E46" s="171">
        <f t="shared" si="11"/>
        <v>0</v>
      </c>
      <c r="F46" s="171">
        <f t="shared" si="11"/>
        <v>0</v>
      </c>
      <c r="G46" s="171">
        <f t="shared" si="11"/>
        <v>5249000</v>
      </c>
      <c r="H46" s="171">
        <f t="shared" si="11"/>
        <v>1603000</v>
      </c>
      <c r="I46" s="172">
        <f t="shared" si="11"/>
        <v>3645000</v>
      </c>
    </row>
    <row r="47" spans="1:9" ht="12">
      <c r="A47" s="169">
        <v>7</v>
      </c>
      <c r="B47" s="170">
        <v>2027</v>
      </c>
      <c r="C47" s="171">
        <f aca="true" t="shared" si="12" ref="C47:I47">ROUND(C11,-3)</f>
        <v>110000</v>
      </c>
      <c r="D47" s="171">
        <f t="shared" si="12"/>
        <v>36000</v>
      </c>
      <c r="E47" s="171">
        <f t="shared" si="12"/>
        <v>0</v>
      </c>
      <c r="F47" s="171">
        <f t="shared" si="12"/>
        <v>0</v>
      </c>
      <c r="G47" s="171">
        <f t="shared" si="12"/>
        <v>2749000</v>
      </c>
      <c r="H47" s="171">
        <f t="shared" si="12"/>
        <v>666000</v>
      </c>
      <c r="I47" s="172">
        <f t="shared" si="12"/>
        <v>2083000</v>
      </c>
    </row>
    <row r="48" spans="1:9" ht="12">
      <c r="A48" s="169">
        <v>8</v>
      </c>
      <c r="B48" s="170">
        <v>2028</v>
      </c>
      <c r="C48" s="171">
        <f aca="true" t="shared" si="13" ref="C48:I48">ROUND(C12,-3)</f>
        <v>110000</v>
      </c>
      <c r="D48" s="171">
        <f t="shared" si="13"/>
        <v>36000</v>
      </c>
      <c r="E48" s="171">
        <f t="shared" si="13"/>
        <v>0</v>
      </c>
      <c r="F48" s="171">
        <f t="shared" si="13"/>
        <v>0</v>
      </c>
      <c r="G48" s="171">
        <f t="shared" si="13"/>
        <v>2749000</v>
      </c>
      <c r="H48" s="171">
        <f t="shared" si="13"/>
        <v>666000</v>
      </c>
      <c r="I48" s="172">
        <f t="shared" si="13"/>
        <v>2083000</v>
      </c>
    </row>
    <row r="49" spans="1:9" ht="12">
      <c r="A49" s="169">
        <v>9</v>
      </c>
      <c r="B49" s="170">
        <v>2029</v>
      </c>
      <c r="C49" s="171">
        <f aca="true" t="shared" si="14" ref="C49:I49">ROUND(C13,-3)</f>
        <v>110000</v>
      </c>
      <c r="D49" s="171">
        <f t="shared" si="14"/>
        <v>36000</v>
      </c>
      <c r="E49" s="171">
        <f t="shared" si="14"/>
        <v>0</v>
      </c>
      <c r="F49" s="171">
        <f t="shared" si="14"/>
        <v>0</v>
      </c>
      <c r="G49" s="171">
        <f t="shared" si="14"/>
        <v>2749000</v>
      </c>
      <c r="H49" s="171">
        <f t="shared" si="14"/>
        <v>666000</v>
      </c>
      <c r="I49" s="172">
        <f t="shared" si="14"/>
        <v>2083000</v>
      </c>
    </row>
    <row r="50" spans="1:9" ht="12">
      <c r="A50" s="169">
        <v>10</v>
      </c>
      <c r="B50" s="170">
        <v>2030</v>
      </c>
      <c r="C50" s="171">
        <f aca="true" t="shared" si="15" ref="C50:I50">ROUND(C14,-3)</f>
        <v>110000</v>
      </c>
      <c r="D50" s="171">
        <f t="shared" si="15"/>
        <v>36000</v>
      </c>
      <c r="E50" s="171">
        <f t="shared" si="15"/>
        <v>0</v>
      </c>
      <c r="F50" s="171">
        <f t="shared" si="15"/>
        <v>0</v>
      </c>
      <c r="G50" s="171">
        <f t="shared" si="15"/>
        <v>2749000</v>
      </c>
      <c r="H50" s="171">
        <f t="shared" si="15"/>
        <v>666000</v>
      </c>
      <c r="I50" s="172">
        <f t="shared" si="15"/>
        <v>2083000</v>
      </c>
    </row>
    <row r="51" spans="1:9" ht="12">
      <c r="A51" s="169">
        <v>11</v>
      </c>
      <c r="B51" s="170">
        <v>2031</v>
      </c>
      <c r="C51" s="171">
        <f aca="true" t="shared" si="16" ref="C51:I51">ROUND(C15,-3)</f>
        <v>110000</v>
      </c>
      <c r="D51" s="171">
        <f t="shared" si="16"/>
        <v>36000</v>
      </c>
      <c r="E51" s="171">
        <f t="shared" si="16"/>
        <v>0</v>
      </c>
      <c r="F51" s="171">
        <f t="shared" si="16"/>
        <v>0</v>
      </c>
      <c r="G51" s="171">
        <f t="shared" si="16"/>
        <v>2749000</v>
      </c>
      <c r="H51" s="171">
        <f t="shared" si="16"/>
        <v>666000</v>
      </c>
      <c r="I51" s="172">
        <f t="shared" si="16"/>
        <v>2083000</v>
      </c>
    </row>
    <row r="52" spans="1:9" ht="12">
      <c r="A52" s="169">
        <v>12</v>
      </c>
      <c r="B52" s="170">
        <v>2032</v>
      </c>
      <c r="C52" s="171">
        <f aca="true" t="shared" si="17" ref="C52:I52">ROUND(C16,-3)</f>
        <v>110000</v>
      </c>
      <c r="D52" s="171">
        <f t="shared" si="17"/>
        <v>36000</v>
      </c>
      <c r="E52" s="171">
        <f t="shared" si="17"/>
        <v>0</v>
      </c>
      <c r="F52" s="171">
        <f t="shared" si="17"/>
        <v>0</v>
      </c>
      <c r="G52" s="171">
        <f t="shared" si="17"/>
        <v>2749000</v>
      </c>
      <c r="H52" s="171">
        <f t="shared" si="17"/>
        <v>666000</v>
      </c>
      <c r="I52" s="172">
        <f t="shared" si="17"/>
        <v>2083000</v>
      </c>
    </row>
    <row r="53" spans="1:9" ht="12">
      <c r="A53" s="169">
        <v>13</v>
      </c>
      <c r="B53" s="170">
        <v>2033</v>
      </c>
      <c r="C53" s="171">
        <f aca="true" t="shared" si="18" ref="C53:I53">ROUND(C17,-3)</f>
        <v>110000</v>
      </c>
      <c r="D53" s="171">
        <f t="shared" si="18"/>
        <v>36000</v>
      </c>
      <c r="E53" s="171">
        <f t="shared" si="18"/>
        <v>0</v>
      </c>
      <c r="F53" s="171">
        <f t="shared" si="18"/>
        <v>0</v>
      </c>
      <c r="G53" s="171">
        <f t="shared" si="18"/>
        <v>2749000</v>
      </c>
      <c r="H53" s="171">
        <f t="shared" si="18"/>
        <v>666000</v>
      </c>
      <c r="I53" s="172">
        <f t="shared" si="18"/>
        <v>2083000</v>
      </c>
    </row>
    <row r="54" spans="1:9" ht="12">
      <c r="A54" s="169">
        <v>14</v>
      </c>
      <c r="B54" s="170">
        <v>2034</v>
      </c>
      <c r="C54" s="171">
        <f aca="true" t="shared" si="19" ref="C54:I54">ROUND(C18,-3)</f>
        <v>110000</v>
      </c>
      <c r="D54" s="171">
        <f t="shared" si="19"/>
        <v>36000</v>
      </c>
      <c r="E54" s="171">
        <f t="shared" si="19"/>
        <v>0</v>
      </c>
      <c r="F54" s="171">
        <f t="shared" si="19"/>
        <v>0</v>
      </c>
      <c r="G54" s="171">
        <f t="shared" si="19"/>
        <v>2749000</v>
      </c>
      <c r="H54" s="171">
        <f t="shared" si="19"/>
        <v>666000</v>
      </c>
      <c r="I54" s="172">
        <f t="shared" si="19"/>
        <v>2083000</v>
      </c>
    </row>
    <row r="55" spans="1:9" ht="12">
      <c r="A55" s="169">
        <v>15</v>
      </c>
      <c r="B55" s="170">
        <v>2035</v>
      </c>
      <c r="C55" s="171">
        <f aca="true" t="shared" si="20" ref="C55:I55">ROUND(C19,-3)</f>
        <v>110000</v>
      </c>
      <c r="D55" s="171">
        <f t="shared" si="20"/>
        <v>36000</v>
      </c>
      <c r="E55" s="171">
        <f t="shared" si="20"/>
        <v>0</v>
      </c>
      <c r="F55" s="171">
        <f t="shared" si="20"/>
        <v>0</v>
      </c>
      <c r="G55" s="171">
        <f t="shared" si="20"/>
        <v>2749000</v>
      </c>
      <c r="H55" s="171">
        <f t="shared" si="20"/>
        <v>666000</v>
      </c>
      <c r="I55" s="172">
        <f t="shared" si="20"/>
        <v>2083000</v>
      </c>
    </row>
    <row r="56" spans="1:9" ht="12">
      <c r="A56" s="169">
        <v>16</v>
      </c>
      <c r="B56" s="170">
        <v>2036</v>
      </c>
      <c r="C56" s="171">
        <f aca="true" t="shared" si="21" ref="C56:I56">ROUND(C20,-3)</f>
        <v>110000</v>
      </c>
      <c r="D56" s="171">
        <f t="shared" si="21"/>
        <v>36000</v>
      </c>
      <c r="E56" s="171">
        <f t="shared" si="21"/>
        <v>0</v>
      </c>
      <c r="F56" s="171">
        <f t="shared" si="21"/>
        <v>0</v>
      </c>
      <c r="G56" s="171">
        <f t="shared" si="21"/>
        <v>2749000</v>
      </c>
      <c r="H56" s="171">
        <f t="shared" si="21"/>
        <v>666000</v>
      </c>
      <c r="I56" s="172">
        <f t="shared" si="21"/>
        <v>2083000</v>
      </c>
    </row>
    <row r="57" spans="1:9" ht="12">
      <c r="A57" s="169">
        <v>17</v>
      </c>
      <c r="B57" s="170">
        <v>2037</v>
      </c>
      <c r="C57" s="171">
        <f aca="true" t="shared" si="22" ref="C57:I57">ROUND(C21,-3)</f>
        <v>110000</v>
      </c>
      <c r="D57" s="171">
        <f t="shared" si="22"/>
        <v>36000</v>
      </c>
      <c r="E57" s="171">
        <f t="shared" si="22"/>
        <v>0</v>
      </c>
      <c r="F57" s="171">
        <f t="shared" si="22"/>
        <v>0</v>
      </c>
      <c r="G57" s="171">
        <f t="shared" si="22"/>
        <v>2749000</v>
      </c>
      <c r="H57" s="171">
        <f t="shared" si="22"/>
        <v>666000</v>
      </c>
      <c r="I57" s="172">
        <f t="shared" si="22"/>
        <v>2083000</v>
      </c>
    </row>
    <row r="58" spans="1:9" ht="12">
      <c r="A58" s="169">
        <v>18</v>
      </c>
      <c r="B58" s="170">
        <v>2038</v>
      </c>
      <c r="C58" s="171">
        <f aca="true" t="shared" si="23" ref="C58:I58">ROUND(C22,-3)</f>
        <v>110000</v>
      </c>
      <c r="D58" s="171">
        <f t="shared" si="23"/>
        <v>36000</v>
      </c>
      <c r="E58" s="171">
        <f t="shared" si="23"/>
        <v>0</v>
      </c>
      <c r="F58" s="171">
        <f t="shared" si="23"/>
        <v>0</v>
      </c>
      <c r="G58" s="171">
        <f t="shared" si="23"/>
        <v>2749000</v>
      </c>
      <c r="H58" s="171">
        <f t="shared" si="23"/>
        <v>666000</v>
      </c>
      <c r="I58" s="172">
        <f t="shared" si="23"/>
        <v>2083000</v>
      </c>
    </row>
    <row r="59" spans="1:9" ht="12">
      <c r="A59" s="169">
        <v>19</v>
      </c>
      <c r="B59" s="170">
        <v>2039</v>
      </c>
      <c r="C59" s="171">
        <f aca="true" t="shared" si="24" ref="C59:I59">ROUND(C23,-3)</f>
        <v>110000</v>
      </c>
      <c r="D59" s="171">
        <f t="shared" si="24"/>
        <v>36000</v>
      </c>
      <c r="E59" s="171">
        <f t="shared" si="24"/>
        <v>0</v>
      </c>
      <c r="F59" s="171">
        <f t="shared" si="24"/>
        <v>0</v>
      </c>
      <c r="G59" s="171">
        <f t="shared" si="24"/>
        <v>2749000</v>
      </c>
      <c r="H59" s="171">
        <f t="shared" si="24"/>
        <v>666000</v>
      </c>
      <c r="I59" s="172">
        <f t="shared" si="24"/>
        <v>2083000</v>
      </c>
    </row>
    <row r="60" spans="1:9" ht="12">
      <c r="A60" s="169">
        <v>20</v>
      </c>
      <c r="B60" s="170">
        <v>2040</v>
      </c>
      <c r="C60" s="171">
        <f aca="true" t="shared" si="25" ref="C60:I60">ROUND(C24,-3)</f>
        <v>110000</v>
      </c>
      <c r="D60" s="171">
        <f t="shared" si="25"/>
        <v>36000</v>
      </c>
      <c r="E60" s="171">
        <f t="shared" si="25"/>
        <v>0</v>
      </c>
      <c r="F60" s="171">
        <f t="shared" si="25"/>
        <v>0</v>
      </c>
      <c r="G60" s="171">
        <f t="shared" si="25"/>
        <v>2749000</v>
      </c>
      <c r="H60" s="171">
        <f t="shared" si="25"/>
        <v>666000</v>
      </c>
      <c r="I60" s="172">
        <f t="shared" si="25"/>
        <v>2083000</v>
      </c>
    </row>
    <row r="61" spans="1:9" ht="12">
      <c r="A61" s="169">
        <v>21</v>
      </c>
      <c r="B61" s="170">
        <v>2041</v>
      </c>
      <c r="C61" s="171">
        <f aca="true" t="shared" si="26" ref="C61:I61">ROUND(C25,-3)</f>
        <v>110000</v>
      </c>
      <c r="D61" s="171">
        <f t="shared" si="26"/>
        <v>36000</v>
      </c>
      <c r="E61" s="171">
        <f t="shared" si="26"/>
        <v>0</v>
      </c>
      <c r="F61" s="171">
        <f t="shared" si="26"/>
        <v>0</v>
      </c>
      <c r="G61" s="171">
        <f t="shared" si="26"/>
        <v>2749000</v>
      </c>
      <c r="H61" s="171">
        <f t="shared" si="26"/>
        <v>666000</v>
      </c>
      <c r="I61" s="172">
        <f t="shared" si="26"/>
        <v>2083000</v>
      </c>
    </row>
    <row r="62" spans="1:9" ht="12">
      <c r="A62" s="169">
        <v>22</v>
      </c>
      <c r="B62" s="170">
        <v>2042</v>
      </c>
      <c r="C62" s="171">
        <f aca="true" t="shared" si="27" ref="C62:I62">ROUND(C26,-3)</f>
        <v>110000</v>
      </c>
      <c r="D62" s="171">
        <f t="shared" si="27"/>
        <v>36000</v>
      </c>
      <c r="E62" s="171">
        <f t="shared" si="27"/>
        <v>0</v>
      </c>
      <c r="F62" s="171">
        <f t="shared" si="27"/>
        <v>0</v>
      </c>
      <c r="G62" s="171">
        <f t="shared" si="27"/>
        <v>2749000</v>
      </c>
      <c r="H62" s="171">
        <f t="shared" si="27"/>
        <v>666000</v>
      </c>
      <c r="I62" s="172">
        <f t="shared" si="27"/>
        <v>2083000</v>
      </c>
    </row>
    <row r="63" spans="1:9" ht="12">
      <c r="A63" s="169">
        <v>23</v>
      </c>
      <c r="B63" s="170">
        <v>2043</v>
      </c>
      <c r="C63" s="171">
        <f aca="true" t="shared" si="28" ref="C63:I63">ROUND(C27,-3)</f>
        <v>110000</v>
      </c>
      <c r="D63" s="171">
        <f t="shared" si="28"/>
        <v>36000</v>
      </c>
      <c r="E63" s="171">
        <f t="shared" si="28"/>
        <v>0</v>
      </c>
      <c r="F63" s="171">
        <f t="shared" si="28"/>
        <v>0</v>
      </c>
      <c r="G63" s="171">
        <f t="shared" si="28"/>
        <v>2749000</v>
      </c>
      <c r="H63" s="171">
        <f t="shared" si="28"/>
        <v>666000</v>
      </c>
      <c r="I63" s="172">
        <f t="shared" si="28"/>
        <v>2083000</v>
      </c>
    </row>
    <row r="64" spans="1:9" ht="12">
      <c r="A64" s="169">
        <v>24</v>
      </c>
      <c r="B64" s="170">
        <v>2044</v>
      </c>
      <c r="C64" s="171">
        <f aca="true" t="shared" si="29" ref="C64:I64">ROUND(C28,-3)</f>
        <v>110000</v>
      </c>
      <c r="D64" s="171">
        <f t="shared" si="29"/>
        <v>36000</v>
      </c>
      <c r="E64" s="171">
        <f t="shared" si="29"/>
        <v>0</v>
      </c>
      <c r="F64" s="171">
        <f t="shared" si="29"/>
        <v>0</v>
      </c>
      <c r="G64" s="171">
        <f t="shared" si="29"/>
        <v>2749000</v>
      </c>
      <c r="H64" s="171">
        <f t="shared" si="29"/>
        <v>666000</v>
      </c>
      <c r="I64" s="172">
        <f t="shared" si="29"/>
        <v>2083000</v>
      </c>
    </row>
    <row r="65" spans="1:9" ht="12">
      <c r="A65" s="169">
        <v>25</v>
      </c>
      <c r="B65" s="170">
        <v>2045</v>
      </c>
      <c r="C65" s="171">
        <f aca="true" t="shared" si="30" ref="C65:I65">ROUND(C29,-3)</f>
        <v>110000</v>
      </c>
      <c r="D65" s="171">
        <f t="shared" si="30"/>
        <v>36000</v>
      </c>
      <c r="E65" s="171">
        <f t="shared" si="30"/>
        <v>0</v>
      </c>
      <c r="F65" s="171">
        <f t="shared" si="30"/>
        <v>0</v>
      </c>
      <c r="G65" s="171">
        <f t="shared" si="30"/>
        <v>2749000</v>
      </c>
      <c r="H65" s="171">
        <f t="shared" si="30"/>
        <v>666000</v>
      </c>
      <c r="I65" s="172">
        <f t="shared" si="30"/>
        <v>2083000</v>
      </c>
    </row>
    <row r="66" spans="1:9" ht="12">
      <c r="A66" s="169">
        <v>26</v>
      </c>
      <c r="B66" s="170">
        <v>2046</v>
      </c>
      <c r="C66" s="171">
        <f aca="true" t="shared" si="31" ref="C66:I66">ROUND(C30,-3)</f>
        <v>110000</v>
      </c>
      <c r="D66" s="171">
        <f t="shared" si="31"/>
        <v>36000</v>
      </c>
      <c r="E66" s="171">
        <f t="shared" si="31"/>
        <v>0</v>
      </c>
      <c r="F66" s="171">
        <f t="shared" si="31"/>
        <v>0</v>
      </c>
      <c r="G66" s="171">
        <f t="shared" si="31"/>
        <v>2749000</v>
      </c>
      <c r="H66" s="171">
        <f t="shared" si="31"/>
        <v>666000</v>
      </c>
      <c r="I66" s="172">
        <f t="shared" si="31"/>
        <v>2083000</v>
      </c>
    </row>
    <row r="67" spans="1:9" ht="12">
      <c r="A67" s="169">
        <v>27</v>
      </c>
      <c r="B67" s="170">
        <v>2047</v>
      </c>
      <c r="C67" s="171">
        <f aca="true" t="shared" si="32" ref="C67:I67">ROUND(C31,-3)</f>
        <v>110000</v>
      </c>
      <c r="D67" s="171">
        <f t="shared" si="32"/>
        <v>36000</v>
      </c>
      <c r="E67" s="171">
        <f t="shared" si="32"/>
        <v>0</v>
      </c>
      <c r="F67" s="171">
        <f t="shared" si="32"/>
        <v>0</v>
      </c>
      <c r="G67" s="171">
        <f t="shared" si="32"/>
        <v>2749000</v>
      </c>
      <c r="H67" s="171">
        <f t="shared" si="32"/>
        <v>666000</v>
      </c>
      <c r="I67" s="172">
        <f t="shared" si="32"/>
        <v>2083000</v>
      </c>
    </row>
    <row r="68" spans="1:9" ht="12">
      <c r="A68" s="169">
        <v>28</v>
      </c>
      <c r="B68" s="170">
        <v>2048</v>
      </c>
      <c r="C68" s="171">
        <f aca="true" t="shared" si="33" ref="C68:I68">ROUND(C32,-3)</f>
        <v>110000</v>
      </c>
      <c r="D68" s="171">
        <f t="shared" si="33"/>
        <v>36000</v>
      </c>
      <c r="E68" s="171">
        <f t="shared" si="33"/>
        <v>0</v>
      </c>
      <c r="F68" s="171">
        <f t="shared" si="33"/>
        <v>0</v>
      </c>
      <c r="G68" s="171">
        <f t="shared" si="33"/>
        <v>2749000</v>
      </c>
      <c r="H68" s="171">
        <f t="shared" si="33"/>
        <v>666000</v>
      </c>
      <c r="I68" s="172">
        <f t="shared" si="33"/>
        <v>2083000</v>
      </c>
    </row>
    <row r="69" spans="1:9" ht="12">
      <c r="A69" s="169">
        <v>29</v>
      </c>
      <c r="B69" s="170">
        <v>2049</v>
      </c>
      <c r="C69" s="171">
        <f aca="true" t="shared" si="34" ref="C69:I69">ROUND(C33,-3)</f>
        <v>110000</v>
      </c>
      <c r="D69" s="171">
        <f t="shared" si="34"/>
        <v>36000</v>
      </c>
      <c r="E69" s="171">
        <f t="shared" si="34"/>
        <v>0</v>
      </c>
      <c r="F69" s="171">
        <f t="shared" si="34"/>
        <v>0</v>
      </c>
      <c r="G69" s="171">
        <f t="shared" si="34"/>
        <v>2749000</v>
      </c>
      <c r="H69" s="171">
        <f t="shared" si="34"/>
        <v>666000</v>
      </c>
      <c r="I69" s="172">
        <f t="shared" si="34"/>
        <v>2083000</v>
      </c>
    </row>
    <row r="70" spans="1:9" ht="12">
      <c r="A70" s="469">
        <v>30</v>
      </c>
      <c r="B70" s="470">
        <v>2050</v>
      </c>
      <c r="C70" s="171">
        <f aca="true" t="shared" si="35" ref="C70:I70">ROUND(C34,-3)</f>
        <v>110000</v>
      </c>
      <c r="D70" s="171">
        <f t="shared" si="35"/>
        <v>36000</v>
      </c>
      <c r="E70" s="171">
        <f t="shared" si="35"/>
        <v>0</v>
      </c>
      <c r="F70" s="171">
        <f t="shared" si="35"/>
        <v>0</v>
      </c>
      <c r="G70" s="171">
        <f t="shared" si="35"/>
        <v>2749000</v>
      </c>
      <c r="H70" s="171">
        <f t="shared" si="35"/>
        <v>666000</v>
      </c>
      <c r="I70" s="172">
        <f t="shared" si="35"/>
        <v>2083000</v>
      </c>
    </row>
    <row r="71" spans="1:9" ht="12.75" thickBot="1">
      <c r="A71" s="622" t="s">
        <v>136</v>
      </c>
      <c r="B71" s="623"/>
      <c r="C71" s="194">
        <f aca="true" t="shared" si="36" ref="C71:I71">ROUND(C35,-3)</f>
        <v>3991000</v>
      </c>
      <c r="D71" s="194">
        <f t="shared" si="36"/>
        <v>1551000</v>
      </c>
      <c r="E71" s="194">
        <f t="shared" si="36"/>
        <v>0</v>
      </c>
      <c r="F71" s="194">
        <f t="shared" si="36"/>
        <v>0</v>
      </c>
      <c r="G71" s="194">
        <f t="shared" si="36"/>
        <v>99769000</v>
      </c>
      <c r="H71" s="194">
        <f t="shared" si="36"/>
        <v>30836000</v>
      </c>
      <c r="I71" s="195">
        <f t="shared" si="36"/>
        <v>68933000</v>
      </c>
    </row>
  </sheetData>
  <sheetProtection/>
  <mergeCells count="2">
    <mergeCell ref="A35:B35"/>
    <mergeCell ref="A71:B7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URS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alex_vialou</dc:creator>
  <cp:keywords/>
  <dc:description/>
  <cp:lastModifiedBy>Alexandra Hernandez</cp:lastModifiedBy>
  <cp:lastPrinted>2015-04-29T19:55:39Z</cp:lastPrinted>
  <dcterms:created xsi:type="dcterms:W3CDTF">2010-08-12T20:59:55Z</dcterms:created>
  <dcterms:modified xsi:type="dcterms:W3CDTF">2018-07-16T15:19:21Z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