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TA\Website 2016\"/>
    </mc:Choice>
  </mc:AlternateContent>
  <bookViews>
    <workbookView xWindow="0" yWindow="0" windowWidth="21600" windowHeight="9735" tabRatio="866"/>
  </bookViews>
  <sheets>
    <sheet name="T1 Impact Matrix" sheetId="25" r:id="rId1"/>
    <sheet name="T2 Summary" sheetId="38" r:id="rId2"/>
    <sheet name="T3 Inputs" sheetId="1" r:id="rId3"/>
    <sheet name="T4 Globalplex Cargo" sheetId="59" r:id="rId4"/>
    <sheet name="T5 Avoided Truck Miles" sheetId="26" r:id="rId5"/>
    <sheet name="T6 Truck Travel Time Savings" sheetId="61" r:id="rId6"/>
    <sheet name="T7 Fuel Savings" sheetId="27" r:id="rId7"/>
    <sheet name="T8 Crane Reliability" sheetId="52" r:id="rId8"/>
    <sheet name="T9 Reduced Bunker Fuel" sheetId="53" r:id="rId9"/>
    <sheet name="T10 Reduced Vessel Emissions" sheetId="54" r:id="rId10"/>
    <sheet name="T11 Reduced Truck Emissions" sheetId="65" r:id="rId11"/>
    <sheet name="T12 SOGR1" sheetId="63" r:id="rId12"/>
    <sheet name="T13 SOGR2" sheetId="67" r:id="rId13"/>
    <sheet name="T14 SOGR3" sheetId="69" r:id="rId14"/>
    <sheet name="T15 EC1" sheetId="70" r:id="rId15"/>
    <sheet name="T16 EC2" sheetId="31" r:id="rId16"/>
    <sheet name="T17EC3" sheetId="55" r:id="rId17"/>
    <sheet name="T18 EC4" sheetId="56" r:id="rId18"/>
    <sheet name="T19EC5" sheetId="62" r:id="rId19"/>
    <sheet name="T20 QOL1" sheetId="37" r:id="rId20"/>
    <sheet name="T21 Sus1" sheetId="64" r:id="rId21"/>
    <sheet name="T22 Sus2" sheetId="60" r:id="rId22"/>
    <sheet name="T23 SAF1" sheetId="71" r:id="rId23"/>
    <sheet name="T24 Cost Estimates" sheetId="45" r:id="rId24"/>
    <sheet name="T25 Costs" sheetId="39" r:id="rId25"/>
    <sheet name="T26 Residual Value" sheetId="66" r:id="rId26"/>
    <sheet name="T27 Capital Expenditure" sheetId="47" r:id="rId27"/>
    <sheet name="T28 JobYears Created" sheetId="48" r:id="rId28"/>
    <sheet name="T29 Socioeconomics" sheetId="51" r:id="rId29"/>
    <sheet name="T30 CPI" sheetId="42" r:id="rId30"/>
    <sheet name="T31 Env Input" sheetId="50" r:id="rId31"/>
    <sheet name="ED Perm Employment" sheetId="72" r:id="rId3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"6ZKFAW5P2CCVRP8VRCKLCYPR"</definedName>
    <definedName name="_xlnm.Print_Area" localSheetId="23">'T24 Cost Estimates'!#REF!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workbook>
</file>

<file path=xl/calcChain.xml><?xml version="1.0" encoding="utf-8"?>
<calcChain xmlns="http://schemas.openxmlformats.org/spreadsheetml/2006/main">
  <c r="E27" i="47" l="1"/>
  <c r="J30" i="47"/>
  <c r="F40" i="38"/>
  <c r="E41" i="38"/>
  <c r="F41" i="38" s="1"/>
  <c r="E40" i="38"/>
  <c r="F109" i="39"/>
  <c r="C109" i="39"/>
  <c r="F108" i="39"/>
  <c r="E108" i="39"/>
  <c r="D108" i="39"/>
  <c r="E107" i="39"/>
  <c r="D107" i="39"/>
  <c r="D106" i="39"/>
  <c r="C106" i="39"/>
  <c r="C105" i="39"/>
  <c r="H103" i="39"/>
  <c r="G101" i="39"/>
  <c r="F101" i="39"/>
  <c r="E101" i="39"/>
  <c r="C101" i="39"/>
  <c r="F100" i="39"/>
  <c r="E100" i="39"/>
  <c r="E99" i="39"/>
  <c r="D99" i="39"/>
  <c r="C99" i="39"/>
  <c r="D98" i="39"/>
  <c r="C98" i="39"/>
  <c r="D97" i="39"/>
  <c r="C97" i="39"/>
  <c r="C96" i="39"/>
  <c r="E95" i="39"/>
  <c r="F93" i="39"/>
  <c r="F92" i="39"/>
  <c r="E92" i="39"/>
  <c r="D92" i="39"/>
  <c r="F91" i="39"/>
  <c r="E91" i="39"/>
  <c r="D91" i="39"/>
  <c r="D90" i="39"/>
  <c r="C90" i="39"/>
  <c r="D89" i="39"/>
  <c r="C89" i="39"/>
  <c r="F88" i="39"/>
  <c r="C88" i="39"/>
  <c r="D86" i="39"/>
  <c r="F85" i="39"/>
  <c r="E85" i="39"/>
  <c r="F84" i="39"/>
  <c r="E84" i="39"/>
  <c r="F83" i="39"/>
  <c r="E83" i="39"/>
  <c r="D83" i="39"/>
  <c r="E82" i="39"/>
  <c r="D82" i="39"/>
  <c r="C82" i="39"/>
  <c r="C81" i="39"/>
  <c r="B80" i="39"/>
  <c r="B81" i="39" s="1"/>
  <c r="B82" i="39" s="1"/>
  <c r="B83" i="39" s="1"/>
  <c r="B84" i="39" s="1"/>
  <c r="B85" i="39" s="1"/>
  <c r="B86" i="39" s="1"/>
  <c r="B87" i="39" s="1"/>
  <c r="B88" i="39" s="1"/>
  <c r="B89" i="39" s="1"/>
  <c r="B90" i="39" s="1"/>
  <c r="B91" i="39" s="1"/>
  <c r="B92" i="39" s="1"/>
  <c r="B93" i="39" s="1"/>
  <c r="B94" i="39" s="1"/>
  <c r="B95" i="39" s="1"/>
  <c r="B96" i="39" s="1"/>
  <c r="B97" i="39" s="1"/>
  <c r="B98" i="39" s="1"/>
  <c r="B99" i="39" s="1"/>
  <c r="B100" i="39" s="1"/>
  <c r="B101" i="39"/>
  <c r="B102" i="39" s="1"/>
  <c r="B103" i="39" s="1"/>
  <c r="B104" i="39" s="1"/>
  <c r="B105" i="39" s="1"/>
  <c r="B106" i="39" s="1"/>
  <c r="B107" i="39" s="1"/>
  <c r="B108" i="39" s="1"/>
  <c r="B109" i="39" s="1"/>
  <c r="A80" i="39"/>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B79" i="39"/>
  <c r="B77" i="39"/>
  <c r="A77" i="39"/>
  <c r="F72" i="39"/>
  <c r="E72" i="39"/>
  <c r="E109" i="39" s="1"/>
  <c r="D72" i="39"/>
  <c r="D109" i="39" s="1"/>
  <c r="C72" i="39"/>
  <c r="G71" i="39"/>
  <c r="G108" i="39" s="1"/>
  <c r="F71" i="39"/>
  <c r="E71" i="39"/>
  <c r="D71" i="39"/>
  <c r="C71" i="39"/>
  <c r="C108" i="39" s="1"/>
  <c r="F70" i="39"/>
  <c r="F107" i="39" s="1"/>
  <c r="E70" i="39"/>
  <c r="D70" i="39"/>
  <c r="C70" i="39"/>
  <c r="C107" i="39" s="1"/>
  <c r="F69" i="39"/>
  <c r="F106" i="39" s="1"/>
  <c r="E69" i="39"/>
  <c r="E106" i="39" s="1"/>
  <c r="D69" i="39"/>
  <c r="C69" i="39"/>
  <c r="G68" i="39"/>
  <c r="G105" i="39" s="1"/>
  <c r="F68" i="39"/>
  <c r="F105" i="39" s="1"/>
  <c r="E68" i="39"/>
  <c r="E105" i="39" s="1"/>
  <c r="D68" i="39"/>
  <c r="D105" i="39" s="1"/>
  <c r="C68" i="39"/>
  <c r="F67" i="39"/>
  <c r="F104" i="39" s="1"/>
  <c r="E67" i="39"/>
  <c r="E104" i="39" s="1"/>
  <c r="D67" i="39"/>
  <c r="D104" i="39" s="1"/>
  <c r="C67" i="39"/>
  <c r="C104" i="39" s="1"/>
  <c r="F66" i="39"/>
  <c r="F103" i="39" s="1"/>
  <c r="E66" i="39"/>
  <c r="E103" i="39" s="1"/>
  <c r="D66" i="39"/>
  <c r="D103" i="39" s="1"/>
  <c r="C66" i="39"/>
  <c r="C103" i="39" s="1"/>
  <c r="F65" i="39"/>
  <c r="F102" i="39" s="1"/>
  <c r="E65" i="39"/>
  <c r="E102" i="39" s="1"/>
  <c r="D65" i="39"/>
  <c r="D102" i="39" s="1"/>
  <c r="C65" i="39"/>
  <c r="C102" i="39" s="1"/>
  <c r="F64" i="39"/>
  <c r="E64" i="39"/>
  <c r="D64" i="39"/>
  <c r="D101" i="39" s="1"/>
  <c r="C64" i="39"/>
  <c r="G63" i="39"/>
  <c r="G100" i="39" s="1"/>
  <c r="F63" i="39"/>
  <c r="E63" i="39"/>
  <c r="D63" i="39"/>
  <c r="D100" i="39" s="1"/>
  <c r="C63" i="39"/>
  <c r="C100" i="39" s="1"/>
  <c r="F62" i="39"/>
  <c r="F99" i="39" s="1"/>
  <c r="E62" i="39"/>
  <c r="D62" i="39"/>
  <c r="C62" i="39"/>
  <c r="F61" i="39"/>
  <c r="F98" i="39" s="1"/>
  <c r="E61" i="39"/>
  <c r="E98" i="39" s="1"/>
  <c r="D61" i="39"/>
  <c r="C61" i="39"/>
  <c r="F60" i="39"/>
  <c r="F97" i="39" s="1"/>
  <c r="E60" i="39"/>
  <c r="E97" i="39" s="1"/>
  <c r="D60" i="39"/>
  <c r="C60" i="39"/>
  <c r="F59" i="39"/>
  <c r="F96" i="39" s="1"/>
  <c r="E59" i="39"/>
  <c r="E96" i="39" s="1"/>
  <c r="D59" i="39"/>
  <c r="D96" i="39" s="1"/>
  <c r="C59" i="39"/>
  <c r="F58" i="39"/>
  <c r="F95" i="39" s="1"/>
  <c r="E58" i="39"/>
  <c r="D58" i="39"/>
  <c r="D95" i="39" s="1"/>
  <c r="C58" i="39"/>
  <c r="C95" i="39" s="1"/>
  <c r="F57" i="39"/>
  <c r="F94" i="39" s="1"/>
  <c r="E57" i="39"/>
  <c r="E94" i="39" s="1"/>
  <c r="D57" i="39"/>
  <c r="D94" i="39" s="1"/>
  <c r="C57" i="39"/>
  <c r="C94" i="39" s="1"/>
  <c r="F56" i="39"/>
  <c r="E56" i="39"/>
  <c r="E93" i="39" s="1"/>
  <c r="D56" i="39"/>
  <c r="D93" i="39" s="1"/>
  <c r="C56" i="39"/>
  <c r="C93" i="39" s="1"/>
  <c r="F55" i="39"/>
  <c r="E55" i="39"/>
  <c r="D55" i="39"/>
  <c r="C55" i="39"/>
  <c r="C92" i="39" s="1"/>
  <c r="H54" i="39"/>
  <c r="H91" i="39" s="1"/>
  <c r="F54" i="39"/>
  <c r="E54" i="39"/>
  <c r="D54" i="39"/>
  <c r="C54" i="39"/>
  <c r="C91" i="39" s="1"/>
  <c r="H53" i="39"/>
  <c r="H90" i="39" s="1"/>
  <c r="F53" i="39"/>
  <c r="F90" i="39" s="1"/>
  <c r="E53" i="39"/>
  <c r="E90" i="39" s="1"/>
  <c r="D53" i="39"/>
  <c r="C53" i="39"/>
  <c r="F52" i="39"/>
  <c r="F89" i="39" s="1"/>
  <c r="E52" i="39"/>
  <c r="E89" i="39" s="1"/>
  <c r="D52" i="39"/>
  <c r="C52" i="39"/>
  <c r="F51" i="39"/>
  <c r="E51" i="39"/>
  <c r="E88" i="39" s="1"/>
  <c r="D51" i="39"/>
  <c r="D88" i="39" s="1"/>
  <c r="C51" i="39"/>
  <c r="F50" i="39"/>
  <c r="F87" i="39" s="1"/>
  <c r="E50" i="39"/>
  <c r="E87" i="39" s="1"/>
  <c r="D50" i="39"/>
  <c r="D87" i="39" s="1"/>
  <c r="C50" i="39"/>
  <c r="C87" i="39" s="1"/>
  <c r="F49" i="39"/>
  <c r="F86" i="39" s="1"/>
  <c r="E49" i="39"/>
  <c r="E86" i="39" s="1"/>
  <c r="D49" i="39"/>
  <c r="C49" i="39"/>
  <c r="C86" i="39" s="1"/>
  <c r="H48" i="39"/>
  <c r="H85" i="39" s="1"/>
  <c r="F48" i="39"/>
  <c r="E48" i="39"/>
  <c r="D48" i="39"/>
  <c r="D85" i="39" s="1"/>
  <c r="C48" i="39"/>
  <c r="C85" i="39" s="1"/>
  <c r="F47" i="39"/>
  <c r="E47" i="39"/>
  <c r="D47" i="39"/>
  <c r="D84" i="39" s="1"/>
  <c r="C47" i="39"/>
  <c r="C84" i="39" s="1"/>
  <c r="F46" i="39"/>
  <c r="E46" i="39"/>
  <c r="D46" i="39"/>
  <c r="C46" i="39"/>
  <c r="C83" i="39" s="1"/>
  <c r="F45" i="39"/>
  <c r="F82" i="39" s="1"/>
  <c r="E45" i="39"/>
  <c r="D45" i="39"/>
  <c r="C45" i="39"/>
  <c r="H44" i="39"/>
  <c r="H81" i="39" s="1"/>
  <c r="F44" i="39"/>
  <c r="F81" i="39" s="1"/>
  <c r="E44" i="39"/>
  <c r="E81" i="39" s="1"/>
  <c r="D44" i="39"/>
  <c r="D81" i="39" s="1"/>
  <c r="C44" i="39"/>
  <c r="G43" i="39"/>
  <c r="G80" i="39" s="1"/>
  <c r="F43" i="39"/>
  <c r="F80" i="39" s="1"/>
  <c r="E43" i="39"/>
  <c r="E80" i="39" s="1"/>
  <c r="D43" i="39"/>
  <c r="D80" i="39" s="1"/>
  <c r="C43" i="39"/>
  <c r="C80" i="39" s="1"/>
  <c r="A43" i="39"/>
  <c r="A44" i="39" s="1"/>
  <c r="A45" i="39"/>
  <c r="A46" i="39" s="1"/>
  <c r="A47" i="39" s="1"/>
  <c r="A48" i="39"/>
  <c r="A49" i="39"/>
  <c r="A50" i="39" s="1"/>
  <c r="A51" i="39" s="1"/>
  <c r="A52" i="39" s="1"/>
  <c r="A53" i="39"/>
  <c r="A54" i="39" s="1"/>
  <c r="A55" i="39" s="1"/>
  <c r="A56" i="39" s="1"/>
  <c r="A57" i="39" s="1"/>
  <c r="A58" i="39" s="1"/>
  <c r="A59" i="39" s="1"/>
  <c r="A60" i="39" s="1"/>
  <c r="A61" i="39"/>
  <c r="A62" i="39" s="1"/>
  <c r="A63" i="39" s="1"/>
  <c r="A64" i="39" s="1"/>
  <c r="A65" i="39" s="1"/>
  <c r="A66" i="39" s="1"/>
  <c r="A67" i="39" s="1"/>
  <c r="A68" i="39" s="1"/>
  <c r="A69" i="39" s="1"/>
  <c r="A70" i="39" s="1"/>
  <c r="A71" i="39" s="1"/>
  <c r="A72" i="39" s="1"/>
  <c r="B42" i="39"/>
  <c r="B43" i="39" s="1"/>
  <c r="B40" i="39"/>
  <c r="A40" i="39"/>
  <c r="D69" i="62"/>
  <c r="D68" i="62"/>
  <c r="D67" i="62"/>
  <c r="D66" i="62"/>
  <c r="D65" i="62"/>
  <c r="D64" i="62"/>
  <c r="D63" i="62"/>
  <c r="D62" i="62"/>
  <c r="D61" i="62"/>
  <c r="D60" i="62"/>
  <c r="D59" i="62"/>
  <c r="D58" i="62"/>
  <c r="D57" i="62"/>
  <c r="D56" i="62"/>
  <c r="D55" i="62"/>
  <c r="D54" i="62"/>
  <c r="D53" i="62"/>
  <c r="D52" i="62"/>
  <c r="D51" i="62"/>
  <c r="D50" i="62"/>
  <c r="D49" i="62"/>
  <c r="D48" i="62"/>
  <c r="D47" i="62"/>
  <c r="D46" i="62"/>
  <c r="D45" i="62"/>
  <c r="D44" i="62"/>
  <c r="D43" i="62"/>
  <c r="D42" i="62"/>
  <c r="D41" i="62"/>
  <c r="D40" i="62"/>
  <c r="D39" i="62"/>
  <c r="D38" i="62"/>
  <c r="L7" i="72"/>
  <c r="M7" i="72"/>
  <c r="N7" i="72"/>
  <c r="O7" i="72"/>
  <c r="A8" i="72"/>
  <c r="A7" i="72" s="1"/>
  <c r="B8" i="72"/>
  <c r="B9" i="72" s="1"/>
  <c r="B10" i="72" s="1"/>
  <c r="B11" i="72" s="1"/>
  <c r="B12" i="72" s="1"/>
  <c r="B13" i="72" s="1"/>
  <c r="B14" i="72" s="1"/>
  <c r="B15" i="72" s="1"/>
  <c r="B16" i="72" s="1"/>
  <c r="B17" i="72" s="1"/>
  <c r="B18" i="72" s="1"/>
  <c r="B19" i="72" s="1"/>
  <c r="B20" i="72" s="1"/>
  <c r="B21" i="72" s="1"/>
  <c r="B22" i="72" s="1"/>
  <c r="B23" i="72" s="1"/>
  <c r="B24" i="72" s="1"/>
  <c r="B25" i="72" s="1"/>
  <c r="B26" i="72" s="1"/>
  <c r="L8" i="72"/>
  <c r="M8" i="72"/>
  <c r="N8" i="72"/>
  <c r="O8" i="72"/>
  <c r="L9" i="72"/>
  <c r="M9" i="72"/>
  <c r="N9" i="72"/>
  <c r="O9" i="72"/>
  <c r="A10" i="72"/>
  <c r="A11" i="72" s="1"/>
  <c r="A12" i="72" s="1"/>
  <c r="A13" i="72" s="1"/>
  <c r="A14" i="72" s="1"/>
  <c r="A15" i="72" s="1"/>
  <c r="A16" i="72" s="1"/>
  <c r="A17" i="72" s="1"/>
  <c r="A18" i="72" s="1"/>
  <c r="A19" i="72" s="1"/>
  <c r="A20" i="72" s="1"/>
  <c r="A21" i="72" s="1"/>
  <c r="A22" i="72" s="1"/>
  <c r="A23" i="72" s="1"/>
  <c r="I10" i="72"/>
  <c r="J10" i="72"/>
  <c r="K10" i="72"/>
  <c r="L10" i="72"/>
  <c r="M10" i="72"/>
  <c r="N10" i="72"/>
  <c r="O10" i="72"/>
  <c r="I11" i="72"/>
  <c r="J11" i="72"/>
  <c r="K11" i="72"/>
  <c r="P11" i="72" s="1"/>
  <c r="Q11" i="72" s="1"/>
  <c r="L11" i="72"/>
  <c r="M11" i="72"/>
  <c r="N11" i="72"/>
  <c r="O11" i="72"/>
  <c r="I12" i="72"/>
  <c r="J12" i="72"/>
  <c r="K12" i="72"/>
  <c r="L12" i="72"/>
  <c r="M12" i="72"/>
  <c r="N12" i="72"/>
  <c r="O12" i="72"/>
  <c r="I13" i="72"/>
  <c r="J13" i="72"/>
  <c r="K13" i="72"/>
  <c r="L13" i="72"/>
  <c r="M13" i="72"/>
  <c r="P13" i="72" s="1"/>
  <c r="Q13" i="72" s="1"/>
  <c r="N13" i="72"/>
  <c r="O13" i="72"/>
  <c r="I14" i="72"/>
  <c r="J14" i="72"/>
  <c r="K14" i="72"/>
  <c r="L14" i="72"/>
  <c r="M14" i="72"/>
  <c r="N14" i="72"/>
  <c r="O14" i="72"/>
  <c r="I15" i="72"/>
  <c r="J15" i="72"/>
  <c r="K15" i="72"/>
  <c r="L15" i="72"/>
  <c r="M15" i="72"/>
  <c r="N15" i="72"/>
  <c r="O15" i="72"/>
  <c r="P15" i="72"/>
  <c r="I16" i="72"/>
  <c r="J16" i="72"/>
  <c r="K16" i="72"/>
  <c r="L16" i="72"/>
  <c r="P16" i="72" s="1"/>
  <c r="M16" i="72"/>
  <c r="N16" i="72"/>
  <c r="O16" i="72"/>
  <c r="I17" i="72"/>
  <c r="J17" i="72"/>
  <c r="K17" i="72"/>
  <c r="L17" i="72"/>
  <c r="M17" i="72"/>
  <c r="N17" i="72"/>
  <c r="O17" i="72"/>
  <c r="I18" i="72"/>
  <c r="J18" i="72"/>
  <c r="P18" i="72" s="1"/>
  <c r="K18" i="72"/>
  <c r="L18" i="72"/>
  <c r="M18" i="72"/>
  <c r="N18" i="72"/>
  <c r="O18" i="72"/>
  <c r="I19" i="72"/>
  <c r="J19" i="72"/>
  <c r="K19" i="72"/>
  <c r="L19" i="72"/>
  <c r="M19" i="72"/>
  <c r="N19" i="72"/>
  <c r="O19" i="72"/>
  <c r="I20" i="72"/>
  <c r="J20" i="72"/>
  <c r="K20" i="72"/>
  <c r="P20" i="72" s="1"/>
  <c r="L20" i="72"/>
  <c r="M20" i="72"/>
  <c r="N20" i="72"/>
  <c r="O20" i="72"/>
  <c r="I21" i="72"/>
  <c r="J21" i="72"/>
  <c r="K21" i="72"/>
  <c r="L21" i="72"/>
  <c r="M21" i="72"/>
  <c r="N21" i="72"/>
  <c r="O21" i="72"/>
  <c r="P21" i="72"/>
  <c r="I22" i="72"/>
  <c r="J22" i="72"/>
  <c r="K22" i="72"/>
  <c r="L22" i="72"/>
  <c r="M22" i="72"/>
  <c r="N22" i="72"/>
  <c r="O22" i="72"/>
  <c r="I23" i="72"/>
  <c r="J23" i="72"/>
  <c r="P23" i="72" s="1"/>
  <c r="K23" i="72"/>
  <c r="L23" i="72"/>
  <c r="M23" i="72"/>
  <c r="N23" i="72"/>
  <c r="O23" i="72"/>
  <c r="A24" i="72"/>
  <c r="A25" i="72" s="1"/>
  <c r="A26" i="72" s="1"/>
  <c r="A27" i="72" s="1"/>
  <c r="A28" i="72" s="1"/>
  <c r="A29" i="72" s="1"/>
  <c r="A30" i="72" s="1"/>
  <c r="A31" i="72" s="1"/>
  <c r="A32" i="72" s="1"/>
  <c r="A33" i="72" s="1"/>
  <c r="A34" i="72" s="1"/>
  <c r="I24" i="72"/>
  <c r="J24" i="72"/>
  <c r="K24" i="72"/>
  <c r="L24" i="72"/>
  <c r="M24" i="72"/>
  <c r="N24" i="72"/>
  <c r="O24" i="72"/>
  <c r="P24" i="72" s="1"/>
  <c r="Q24" i="72" s="1"/>
  <c r="I25" i="72"/>
  <c r="J25" i="72"/>
  <c r="P25" i="72" s="1"/>
  <c r="K25" i="72"/>
  <c r="L25" i="72"/>
  <c r="M25" i="72"/>
  <c r="N25" i="72"/>
  <c r="O25" i="72"/>
  <c r="I26" i="72"/>
  <c r="J26" i="72"/>
  <c r="P26" i="72" s="1"/>
  <c r="K26" i="72"/>
  <c r="L26" i="72"/>
  <c r="M26" i="72"/>
  <c r="N26" i="72"/>
  <c r="O26" i="72"/>
  <c r="I27" i="72"/>
  <c r="J27" i="72"/>
  <c r="K27" i="72"/>
  <c r="L27" i="72"/>
  <c r="M27" i="72"/>
  <c r="N27" i="72"/>
  <c r="P27" i="72" s="1"/>
  <c r="O27" i="72"/>
  <c r="I28" i="72"/>
  <c r="J28" i="72"/>
  <c r="K28" i="72"/>
  <c r="L28" i="72"/>
  <c r="M28" i="72"/>
  <c r="N28" i="72"/>
  <c r="O28" i="72"/>
  <c r="I29" i="72"/>
  <c r="J29" i="72"/>
  <c r="K29" i="72"/>
  <c r="L29" i="72"/>
  <c r="M29" i="72"/>
  <c r="P29" i="72" s="1"/>
  <c r="N29" i="72"/>
  <c r="O29" i="72"/>
  <c r="I30" i="72"/>
  <c r="J30" i="72"/>
  <c r="K30" i="72"/>
  <c r="L30" i="72"/>
  <c r="M30" i="72"/>
  <c r="N30" i="72"/>
  <c r="O30" i="72"/>
  <c r="I31" i="72"/>
  <c r="J31" i="72"/>
  <c r="P31" i="72" s="1"/>
  <c r="K31" i="72"/>
  <c r="L31" i="72"/>
  <c r="M31" i="72"/>
  <c r="N31" i="72"/>
  <c r="O31" i="72"/>
  <c r="I32" i="72"/>
  <c r="J32" i="72"/>
  <c r="K32" i="72"/>
  <c r="L32" i="72"/>
  <c r="P32" i="72" s="1"/>
  <c r="M32" i="72"/>
  <c r="N32" i="72"/>
  <c r="O32" i="72"/>
  <c r="I33" i="72"/>
  <c r="J33" i="72"/>
  <c r="K33" i="72"/>
  <c r="L33" i="72"/>
  <c r="M33" i="72"/>
  <c r="N33" i="72"/>
  <c r="O33" i="72"/>
  <c r="I34" i="72"/>
  <c r="J34" i="72"/>
  <c r="K34" i="72"/>
  <c r="L34" i="72"/>
  <c r="M34" i="72"/>
  <c r="N34" i="72"/>
  <c r="O34" i="72"/>
  <c r="A35" i="72"/>
  <c r="A36" i="72" s="1"/>
  <c r="A37" i="72" s="1"/>
  <c r="A38" i="72" s="1"/>
  <c r="A39" i="72" s="1"/>
  <c r="I35" i="72"/>
  <c r="J35" i="72"/>
  <c r="K35" i="72"/>
  <c r="L35" i="72"/>
  <c r="M35" i="72"/>
  <c r="N35" i="72"/>
  <c r="O35" i="72"/>
  <c r="I36" i="72"/>
  <c r="J36" i="72"/>
  <c r="K36" i="72"/>
  <c r="P36" i="72" s="1"/>
  <c r="L36" i="72"/>
  <c r="M36" i="72"/>
  <c r="N36" i="72"/>
  <c r="O36" i="72"/>
  <c r="I37" i="72"/>
  <c r="J37" i="72"/>
  <c r="K37" i="72"/>
  <c r="L37" i="72"/>
  <c r="M37" i="72"/>
  <c r="N37" i="72"/>
  <c r="O37" i="72"/>
  <c r="P37" i="72"/>
  <c r="I38" i="72"/>
  <c r="J38" i="72"/>
  <c r="P38" i="72" s="1"/>
  <c r="K38" i="72"/>
  <c r="L38" i="72"/>
  <c r="M38" i="72"/>
  <c r="N38" i="72"/>
  <c r="O38" i="72"/>
  <c r="I39" i="72"/>
  <c r="J39" i="72"/>
  <c r="P39" i="72" s="1"/>
  <c r="K39" i="72"/>
  <c r="L39" i="72"/>
  <c r="M39" i="72"/>
  <c r="N39" i="72"/>
  <c r="O39" i="72"/>
  <c r="A4" i="50"/>
  <c r="A3" i="50" s="1"/>
  <c r="A5" i="50"/>
  <c r="A7" i="50"/>
  <c r="A8" i="50" s="1"/>
  <c r="A9" i="50" s="1"/>
  <c r="A10" i="50"/>
  <c r="A11" i="50" s="1"/>
  <c r="A12" i="50" s="1"/>
  <c r="A13" i="50" s="1"/>
  <c r="A14" i="50"/>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B36" i="50"/>
  <c r="K5" i="51"/>
  <c r="K6" i="51"/>
  <c r="G7" i="51"/>
  <c r="K10" i="51"/>
  <c r="E48" i="51" s="1"/>
  <c r="K11" i="51"/>
  <c r="E49" i="51" s="1"/>
  <c r="K12" i="51"/>
  <c r="K13" i="51"/>
  <c r="E51" i="51" s="1"/>
  <c r="K14" i="51"/>
  <c r="E52" i="51" s="1"/>
  <c r="K15" i="51"/>
  <c r="E53" i="51" s="1"/>
  <c r="K16" i="51"/>
  <c r="E54" i="51" s="1"/>
  <c r="K17" i="51"/>
  <c r="E55" i="51" s="1"/>
  <c r="K18" i="51"/>
  <c r="E56" i="51" s="1"/>
  <c r="K19" i="51"/>
  <c r="E57" i="51" s="1"/>
  <c r="K20" i="51"/>
  <c r="E58" i="51" s="1"/>
  <c r="K21" i="51"/>
  <c r="E59" i="51" s="1"/>
  <c r="K22" i="51"/>
  <c r="E60" i="51" s="1"/>
  <c r="K23" i="51"/>
  <c r="E61" i="51" s="1"/>
  <c r="K25" i="51"/>
  <c r="E62" i="51" s="1"/>
  <c r="K26" i="51"/>
  <c r="E63" i="51" s="1"/>
  <c r="G28" i="51"/>
  <c r="K28" i="51"/>
  <c r="E64" i="51" s="1"/>
  <c r="K34" i="51"/>
  <c r="K35" i="51"/>
  <c r="B36" i="51"/>
  <c r="J71" i="51" s="1"/>
  <c r="C36" i="51"/>
  <c r="I71" i="51" s="1"/>
  <c r="D36" i="51"/>
  <c r="G71" i="51" s="1"/>
  <c r="E36" i="51"/>
  <c r="H71" i="51" s="1"/>
  <c r="F36" i="51"/>
  <c r="F71" i="51" s="1"/>
  <c r="H36" i="51"/>
  <c r="B71" i="51" s="1"/>
  <c r="I36" i="51"/>
  <c r="J36" i="51"/>
  <c r="D71" i="51" s="1"/>
  <c r="B37" i="51"/>
  <c r="J72" i="51" s="1"/>
  <c r="C37" i="51"/>
  <c r="I72" i="51" s="1"/>
  <c r="D37" i="51"/>
  <c r="D38" i="51" s="1"/>
  <c r="G73" i="51" s="1"/>
  <c r="E37" i="51"/>
  <c r="F37" i="51"/>
  <c r="F38" i="51" s="1"/>
  <c r="F73" i="51" s="1"/>
  <c r="H37" i="51"/>
  <c r="B72" i="51" s="1"/>
  <c r="I37" i="51"/>
  <c r="I38" i="51" s="1"/>
  <c r="C73" i="51" s="1"/>
  <c r="J37" i="51"/>
  <c r="K39" i="51"/>
  <c r="B40" i="51"/>
  <c r="J75" i="51" s="1"/>
  <c r="C40" i="51"/>
  <c r="I75" i="51" s="1"/>
  <c r="D40" i="51"/>
  <c r="G75" i="51" s="1"/>
  <c r="E40" i="51"/>
  <c r="H75" i="51" s="1"/>
  <c r="F40" i="51"/>
  <c r="F75" i="51" s="1"/>
  <c r="H40" i="51"/>
  <c r="I40" i="51"/>
  <c r="C75" i="51" s="1"/>
  <c r="J40" i="51"/>
  <c r="D75" i="51" s="1"/>
  <c r="B43" i="51"/>
  <c r="B68" i="51" s="1"/>
  <c r="C43" i="51"/>
  <c r="C68" i="51" s="1"/>
  <c r="D43" i="51"/>
  <c r="D68" i="51" s="1"/>
  <c r="E43" i="51"/>
  <c r="E68" i="51" s="1"/>
  <c r="F43" i="51"/>
  <c r="F68" i="51" s="1"/>
  <c r="G43" i="51"/>
  <c r="G68" i="51" s="1"/>
  <c r="H43" i="51"/>
  <c r="H68" i="51" s="1"/>
  <c r="I43" i="51"/>
  <c r="I68" i="51" s="1"/>
  <c r="J43" i="51"/>
  <c r="J68" i="51" s="1"/>
  <c r="B44" i="51"/>
  <c r="C44" i="51"/>
  <c r="D44" i="51"/>
  <c r="F44" i="51"/>
  <c r="G44" i="51"/>
  <c r="H44" i="51"/>
  <c r="I44" i="51"/>
  <c r="J44" i="51"/>
  <c r="B45" i="51"/>
  <c r="C45" i="51"/>
  <c r="D45" i="51"/>
  <c r="F45" i="51"/>
  <c r="G45" i="51"/>
  <c r="H45" i="51"/>
  <c r="I45" i="51"/>
  <c r="J45" i="51"/>
  <c r="B46" i="51"/>
  <c r="C46" i="51"/>
  <c r="D46" i="51"/>
  <c r="F46" i="51"/>
  <c r="G46" i="51"/>
  <c r="H46" i="51"/>
  <c r="I46" i="51"/>
  <c r="J46" i="51"/>
  <c r="B47" i="51"/>
  <c r="C47" i="51"/>
  <c r="D47" i="51"/>
  <c r="E47" i="51"/>
  <c r="F47" i="51"/>
  <c r="G47" i="51"/>
  <c r="H47" i="51"/>
  <c r="I47" i="51"/>
  <c r="J47" i="51"/>
  <c r="B48" i="51"/>
  <c r="C48" i="51"/>
  <c r="D48" i="51"/>
  <c r="F48" i="51"/>
  <c r="G48" i="51"/>
  <c r="H48" i="51"/>
  <c r="I48" i="51"/>
  <c r="J48" i="51"/>
  <c r="B49" i="51"/>
  <c r="C49" i="51"/>
  <c r="D49" i="51"/>
  <c r="F49" i="51"/>
  <c r="G49" i="51"/>
  <c r="H49" i="51"/>
  <c r="I49" i="51"/>
  <c r="J49" i="51"/>
  <c r="B50" i="51"/>
  <c r="C50" i="51"/>
  <c r="D50" i="51"/>
  <c r="E50" i="51"/>
  <c r="F50" i="51"/>
  <c r="G50" i="51"/>
  <c r="H50" i="51"/>
  <c r="I50" i="51"/>
  <c r="J50" i="51"/>
  <c r="B51" i="51"/>
  <c r="C51" i="51"/>
  <c r="D51" i="51"/>
  <c r="F51" i="51"/>
  <c r="G51" i="51"/>
  <c r="H51" i="51"/>
  <c r="I51" i="51"/>
  <c r="J51" i="51"/>
  <c r="B52" i="51"/>
  <c r="C52" i="51"/>
  <c r="D52" i="51"/>
  <c r="F52" i="51"/>
  <c r="G52" i="51"/>
  <c r="H52" i="51"/>
  <c r="I52" i="51"/>
  <c r="J52" i="51"/>
  <c r="B53" i="51"/>
  <c r="C53" i="51"/>
  <c r="D53" i="51"/>
  <c r="F53" i="51"/>
  <c r="G53" i="51"/>
  <c r="H53" i="51"/>
  <c r="I53" i="51"/>
  <c r="J53" i="51"/>
  <c r="B54" i="51"/>
  <c r="C54" i="51"/>
  <c r="D54" i="51"/>
  <c r="F54" i="51"/>
  <c r="G54" i="51"/>
  <c r="H54" i="51"/>
  <c r="I54" i="51"/>
  <c r="J54" i="51"/>
  <c r="B55" i="51"/>
  <c r="C55" i="51"/>
  <c r="D55" i="51"/>
  <c r="F55" i="51"/>
  <c r="G55" i="51"/>
  <c r="H55" i="51"/>
  <c r="I55" i="51"/>
  <c r="J55" i="51"/>
  <c r="B56" i="51"/>
  <c r="C56" i="51"/>
  <c r="D56" i="51"/>
  <c r="F56" i="51"/>
  <c r="G56" i="51"/>
  <c r="H56" i="51"/>
  <c r="I56" i="51"/>
  <c r="J56" i="51"/>
  <c r="B57" i="51"/>
  <c r="C57" i="51"/>
  <c r="D57" i="51"/>
  <c r="F57" i="51"/>
  <c r="G57" i="51"/>
  <c r="H57" i="51"/>
  <c r="I57" i="51"/>
  <c r="J57" i="51"/>
  <c r="B58" i="51"/>
  <c r="C58" i="51"/>
  <c r="D58" i="51"/>
  <c r="F58" i="51"/>
  <c r="G58" i="51"/>
  <c r="H58" i="51"/>
  <c r="I58" i="51"/>
  <c r="J58" i="51"/>
  <c r="B59" i="51"/>
  <c r="C59" i="51"/>
  <c r="D59" i="51"/>
  <c r="F59" i="51"/>
  <c r="G59" i="51"/>
  <c r="H59" i="51"/>
  <c r="I59" i="51"/>
  <c r="J59" i="51"/>
  <c r="B60" i="51"/>
  <c r="C60" i="51"/>
  <c r="D60" i="51"/>
  <c r="F60" i="51"/>
  <c r="G60" i="51"/>
  <c r="H60" i="51"/>
  <c r="I60" i="51"/>
  <c r="J60" i="51"/>
  <c r="B61" i="51"/>
  <c r="C61" i="51"/>
  <c r="D61" i="51"/>
  <c r="F61" i="51"/>
  <c r="G61" i="51"/>
  <c r="H61" i="51"/>
  <c r="I61" i="51"/>
  <c r="J61" i="51"/>
  <c r="B62" i="51"/>
  <c r="C62" i="51"/>
  <c r="D62" i="51"/>
  <c r="F62" i="51"/>
  <c r="G62" i="51"/>
  <c r="H62" i="51"/>
  <c r="I62" i="51"/>
  <c r="J62" i="51"/>
  <c r="B63" i="51"/>
  <c r="C63" i="51"/>
  <c r="D63" i="51"/>
  <c r="F63" i="51"/>
  <c r="G63" i="51"/>
  <c r="H63" i="51"/>
  <c r="I63" i="51"/>
  <c r="J63" i="51"/>
  <c r="B64" i="51"/>
  <c r="C64" i="51"/>
  <c r="D64" i="51"/>
  <c r="F64" i="51"/>
  <c r="G64" i="51"/>
  <c r="H64" i="51"/>
  <c r="I64" i="51"/>
  <c r="J64" i="51"/>
  <c r="B65" i="51"/>
  <c r="C65" i="51"/>
  <c r="D65" i="51"/>
  <c r="F65" i="51"/>
  <c r="G65" i="51"/>
  <c r="H65" i="51"/>
  <c r="I65" i="51"/>
  <c r="J65" i="51"/>
  <c r="B69" i="51"/>
  <c r="C69" i="51"/>
  <c r="D69" i="51"/>
  <c r="E69" i="51"/>
  <c r="F69" i="51"/>
  <c r="G69" i="51"/>
  <c r="H69" i="51"/>
  <c r="I69" i="51"/>
  <c r="J69" i="51"/>
  <c r="B70" i="51"/>
  <c r="C70" i="51"/>
  <c r="D70" i="51"/>
  <c r="F70" i="51"/>
  <c r="G70" i="51"/>
  <c r="H70" i="51"/>
  <c r="I70" i="51"/>
  <c r="J70" i="51"/>
  <c r="C71" i="51"/>
  <c r="C72" i="51"/>
  <c r="B74" i="51"/>
  <c r="C74" i="51"/>
  <c r="D74" i="51"/>
  <c r="F74" i="51"/>
  <c r="G74" i="51"/>
  <c r="H74" i="51"/>
  <c r="I74" i="51"/>
  <c r="J74" i="51"/>
  <c r="B75" i="51"/>
  <c r="B99" i="51"/>
  <c r="C99" i="51"/>
  <c r="D99" i="51"/>
  <c r="E99" i="51"/>
  <c r="F99" i="51"/>
  <c r="B100" i="51"/>
  <c r="C100" i="51"/>
  <c r="D100" i="51"/>
  <c r="E100" i="51"/>
  <c r="F100" i="51"/>
  <c r="B101" i="51"/>
  <c r="C101" i="51"/>
  <c r="D101" i="51"/>
  <c r="E101" i="51"/>
  <c r="F101" i="51"/>
  <c r="B102" i="51"/>
  <c r="C102" i="51"/>
  <c r="D102" i="51"/>
  <c r="E102" i="51"/>
  <c r="F102" i="51"/>
  <c r="B103" i="51"/>
  <c r="C103" i="51"/>
  <c r="D103" i="51"/>
  <c r="E103" i="51"/>
  <c r="F103" i="51"/>
  <c r="B104" i="51"/>
  <c r="C104" i="51"/>
  <c r="D104" i="51"/>
  <c r="E104" i="51"/>
  <c r="F104" i="51"/>
  <c r="B105" i="51"/>
  <c r="C105" i="51"/>
  <c r="D105" i="51"/>
  <c r="E105" i="51"/>
  <c r="F105" i="51"/>
  <c r="B106" i="51"/>
  <c r="C106" i="51"/>
  <c r="D106" i="51"/>
  <c r="E106" i="51"/>
  <c r="F106" i="51"/>
  <c r="B107" i="51"/>
  <c r="C107" i="51"/>
  <c r="D107" i="51"/>
  <c r="E107" i="51"/>
  <c r="F107" i="51"/>
  <c r="B108" i="51"/>
  <c r="C108" i="51"/>
  <c r="D108" i="51"/>
  <c r="E108" i="51"/>
  <c r="F108" i="51"/>
  <c r="B109" i="51"/>
  <c r="C109" i="51"/>
  <c r="D109" i="51"/>
  <c r="E109" i="51"/>
  <c r="F109" i="51"/>
  <c r="B110" i="51"/>
  <c r="C110" i="51"/>
  <c r="D110" i="51"/>
  <c r="E110" i="51"/>
  <c r="F110" i="51"/>
  <c r="O3" i="47"/>
  <c r="O4" i="47"/>
  <c r="O5" i="47"/>
  <c r="O6" i="47"/>
  <c r="O7" i="47"/>
  <c r="O8" i="47"/>
  <c r="Q9" i="47"/>
  <c r="S9" i="47"/>
  <c r="U9" i="47"/>
  <c r="N12" i="47"/>
  <c r="N16" i="47"/>
  <c r="K19" i="47"/>
  <c r="E26" i="47"/>
  <c r="D35" i="47"/>
  <c r="E35" i="47" s="1"/>
  <c r="J43" i="47" s="1"/>
  <c r="E37" i="47"/>
  <c r="E38" i="47"/>
  <c r="E55" i="47"/>
  <c r="F57" i="47"/>
  <c r="C65" i="47"/>
  <c r="D65" i="47"/>
  <c r="E65" i="47"/>
  <c r="D66" i="47"/>
  <c r="C67" i="47"/>
  <c r="D67" i="47"/>
  <c r="E67" i="47"/>
  <c r="G67" i="47"/>
  <c r="C68" i="47"/>
  <c r="D68" i="47"/>
  <c r="G68" i="47"/>
  <c r="B6" i="66"/>
  <c r="A7" i="66"/>
  <c r="B7" i="66"/>
  <c r="B8" i="66" s="1"/>
  <c r="B9" i="66" s="1"/>
  <c r="B10" i="66"/>
  <c r="B11" i="66" s="1"/>
  <c r="B12" i="66" s="1"/>
  <c r="B13" i="66" s="1"/>
  <c r="B14" i="66"/>
  <c r="B15" i="66" s="1"/>
  <c r="B16" i="66" s="1"/>
  <c r="B17" i="66" s="1"/>
  <c r="B18" i="66" s="1"/>
  <c r="B19" i="66" s="1"/>
  <c r="B20" i="66" s="1"/>
  <c r="B21" i="66" s="1"/>
  <c r="B22" i="66" s="1"/>
  <c r="B23" i="66" s="1"/>
  <c r="B24" i="66" s="1"/>
  <c r="B25" i="66" s="1"/>
  <c r="B26" i="66" s="1"/>
  <c r="B27" i="66" s="1"/>
  <c r="B28" i="66" s="1"/>
  <c r="B29" i="66" s="1"/>
  <c r="B30" i="66" s="1"/>
  <c r="B31" i="66" s="1"/>
  <c r="B32" i="66" s="1"/>
  <c r="B33" i="66" s="1"/>
  <c r="B34" i="66" s="1"/>
  <c r="B35" i="66"/>
  <c r="B36" i="66" s="1"/>
  <c r="A3" i="39"/>
  <c r="B3" i="39"/>
  <c r="B5" i="39"/>
  <c r="A6" i="39"/>
  <c r="B6" i="39"/>
  <c r="G6" i="39"/>
  <c r="H6" i="39"/>
  <c r="I6" i="39"/>
  <c r="I43" i="39" s="1"/>
  <c r="I80" i="39" s="1"/>
  <c r="L6" i="39"/>
  <c r="L43" i="39" s="1"/>
  <c r="L80" i="39" s="1"/>
  <c r="A7" i="39"/>
  <c r="B7" i="39"/>
  <c r="G7" i="39"/>
  <c r="G44" i="39" s="1"/>
  <c r="G81" i="39" s="1"/>
  <c r="H7" i="39"/>
  <c r="I7" i="39"/>
  <c r="I44" i="39" s="1"/>
  <c r="I81" i="39" s="1"/>
  <c r="L7" i="39"/>
  <c r="L44" i="39" s="1"/>
  <c r="L81" i="39" s="1"/>
  <c r="A8" i="39"/>
  <c r="A9" i="39" s="1"/>
  <c r="A10" i="39" s="1"/>
  <c r="A11" i="39" s="1"/>
  <c r="A12" i="39" s="1"/>
  <c r="A13" i="39" s="1"/>
  <c r="A14" i="39" s="1"/>
  <c r="A15" i="39" s="1"/>
  <c r="A16" i="39" s="1"/>
  <c r="A17" i="39" s="1"/>
  <c r="A18" i="39" s="1"/>
  <c r="A19" i="39" s="1"/>
  <c r="A20" i="39" s="1"/>
  <c r="A21" i="39" s="1"/>
  <c r="A22" i="39" s="1"/>
  <c r="G8" i="39"/>
  <c r="H8" i="39"/>
  <c r="G9" i="39"/>
  <c r="G46" i="39" s="1"/>
  <c r="G83" i="39" s="1"/>
  <c r="H9" i="39"/>
  <c r="H46" i="39" s="1"/>
  <c r="H83" i="39" s="1"/>
  <c r="I9" i="39"/>
  <c r="G10" i="39"/>
  <c r="H10" i="39"/>
  <c r="I10" i="39"/>
  <c r="G11" i="39"/>
  <c r="G48" i="39" s="1"/>
  <c r="G85" i="39" s="1"/>
  <c r="H11" i="39"/>
  <c r="I11" i="39"/>
  <c r="I48" i="39" s="1"/>
  <c r="I85" i="39" s="1"/>
  <c r="G12" i="39"/>
  <c r="H12" i="39"/>
  <c r="G13" i="39"/>
  <c r="H13" i="39"/>
  <c r="H50" i="39" s="1"/>
  <c r="H87" i="39" s="1"/>
  <c r="I13" i="39"/>
  <c r="G14" i="39"/>
  <c r="H14" i="39"/>
  <c r="I14" i="39"/>
  <c r="I51" i="39" s="1"/>
  <c r="I88" i="39" s="1"/>
  <c r="G15" i="39"/>
  <c r="G52" i="39" s="1"/>
  <c r="G89" i="39" s="1"/>
  <c r="H15" i="39"/>
  <c r="H52" i="39" s="1"/>
  <c r="H89" i="39" s="1"/>
  <c r="I15" i="39"/>
  <c r="G16" i="39"/>
  <c r="H16" i="39"/>
  <c r="G17" i="39"/>
  <c r="G54" i="39" s="1"/>
  <c r="G91" i="39" s="1"/>
  <c r="H17" i="39"/>
  <c r="I17" i="39"/>
  <c r="G18" i="39"/>
  <c r="H18" i="39"/>
  <c r="I18" i="39"/>
  <c r="G19" i="39"/>
  <c r="G56" i="39" s="1"/>
  <c r="G93" i="39" s="1"/>
  <c r="H19" i="39"/>
  <c r="H56" i="39" s="1"/>
  <c r="H93" i="39" s="1"/>
  <c r="I19" i="39"/>
  <c r="I56" i="39" s="1"/>
  <c r="I93" i="39" s="1"/>
  <c r="G20" i="39"/>
  <c r="H20" i="39"/>
  <c r="H57" i="39" s="1"/>
  <c r="H94" i="39" s="1"/>
  <c r="G21" i="39"/>
  <c r="H21" i="39"/>
  <c r="H58" i="39" s="1"/>
  <c r="H95" i="39" s="1"/>
  <c r="G22" i="39"/>
  <c r="H22" i="39"/>
  <c r="A23" i="39"/>
  <c r="A24" i="39" s="1"/>
  <c r="A25" i="39" s="1"/>
  <c r="A26" i="39" s="1"/>
  <c r="A27" i="39" s="1"/>
  <c r="A28" i="39" s="1"/>
  <c r="A29" i="39" s="1"/>
  <c r="A30" i="39" s="1"/>
  <c r="A31" i="39" s="1"/>
  <c r="A32" i="39" s="1"/>
  <c r="A33" i="39" s="1"/>
  <c r="A34" i="39" s="1"/>
  <c r="A35" i="39" s="1"/>
  <c r="G23" i="39"/>
  <c r="G60" i="39" s="1"/>
  <c r="G97" i="39" s="1"/>
  <c r="H23" i="39"/>
  <c r="H60" i="39" s="1"/>
  <c r="H97" i="39" s="1"/>
  <c r="I23" i="39"/>
  <c r="G24" i="39"/>
  <c r="H24" i="39"/>
  <c r="G25" i="39"/>
  <c r="H25" i="39"/>
  <c r="H62" i="39" s="1"/>
  <c r="H99" i="39" s="1"/>
  <c r="G26" i="39"/>
  <c r="H26" i="39"/>
  <c r="I26" i="39"/>
  <c r="I63" i="39" s="1"/>
  <c r="I100" i="39" s="1"/>
  <c r="G27" i="39"/>
  <c r="G64" i="39" s="1"/>
  <c r="H27" i="39"/>
  <c r="H64" i="39" s="1"/>
  <c r="H101" i="39" s="1"/>
  <c r="I27" i="39"/>
  <c r="G28" i="39"/>
  <c r="H28" i="39"/>
  <c r="H65" i="39" s="1"/>
  <c r="H102" i="39" s="1"/>
  <c r="G29" i="39"/>
  <c r="H29" i="39"/>
  <c r="H66" i="39" s="1"/>
  <c r="I29" i="39"/>
  <c r="G30" i="39"/>
  <c r="H30" i="39"/>
  <c r="G31" i="39"/>
  <c r="H31" i="39"/>
  <c r="H68" i="39" s="1"/>
  <c r="H105" i="39" s="1"/>
  <c r="I31" i="39"/>
  <c r="G32" i="39"/>
  <c r="H32" i="39"/>
  <c r="G33" i="39"/>
  <c r="H33" i="39"/>
  <c r="H70" i="39" s="1"/>
  <c r="H107" i="39" s="1"/>
  <c r="I33" i="39"/>
  <c r="G34" i="39"/>
  <c r="H34" i="39"/>
  <c r="I34" i="39"/>
  <c r="G35" i="39"/>
  <c r="G72" i="39" s="1"/>
  <c r="G109" i="39" s="1"/>
  <c r="H35" i="39"/>
  <c r="H72" i="39" s="1"/>
  <c r="H109" i="39" s="1"/>
  <c r="I35" i="39"/>
  <c r="I72" i="39" s="1"/>
  <c r="I109" i="39" s="1"/>
  <c r="E13" i="45"/>
  <c r="E21" i="45" s="1"/>
  <c r="C16" i="47" s="1"/>
  <c r="E14" i="45"/>
  <c r="E22" i="45" s="1"/>
  <c r="J15" i="47" s="1"/>
  <c r="E19" i="45"/>
  <c r="E20" i="45" s="1"/>
  <c r="D26" i="45"/>
  <c r="E26" i="45" s="1"/>
  <c r="E27" i="45" s="1"/>
  <c r="E28" i="45"/>
  <c r="K11" i="47" s="1"/>
  <c r="E35" i="45"/>
  <c r="E36" i="45"/>
  <c r="L13" i="47" s="1"/>
  <c r="J5" i="71"/>
  <c r="K5" i="71"/>
  <c r="L5" i="71"/>
  <c r="M5" i="71"/>
  <c r="N5" i="71"/>
  <c r="O5" i="71"/>
  <c r="E8" i="71"/>
  <c r="E43" i="71" s="1"/>
  <c r="B9" i="71"/>
  <c r="E9" i="71" s="1"/>
  <c r="E44" i="71" s="1"/>
  <c r="A10" i="71"/>
  <c r="B10" i="71"/>
  <c r="A43" i="71"/>
  <c r="B43" i="71"/>
  <c r="D43" i="71"/>
  <c r="A44" i="71"/>
  <c r="B44" i="71"/>
  <c r="D44" i="71"/>
  <c r="A75" i="71"/>
  <c r="B75" i="71"/>
  <c r="B3" i="60"/>
  <c r="B4" i="60" s="1"/>
  <c r="A4" i="60"/>
  <c r="A5" i="60"/>
  <c r="A6" i="60" s="1"/>
  <c r="A7" i="60" s="1"/>
  <c r="B5" i="60"/>
  <c r="B6" i="60" s="1"/>
  <c r="B7" i="60" s="1"/>
  <c r="B8" i="60" s="1"/>
  <c r="A8" i="60"/>
  <c r="A9" i="60" s="1"/>
  <c r="A10" i="60" s="1"/>
  <c r="A11" i="60" s="1"/>
  <c r="A12" i="60" s="1"/>
  <c r="A13" i="60" s="1"/>
  <c r="A14" i="60" s="1"/>
  <c r="B9" i="60"/>
  <c r="B10" i="60" s="1"/>
  <c r="B11" i="60" s="1"/>
  <c r="B12" i="60" s="1"/>
  <c r="B13" i="60" s="1"/>
  <c r="B14" i="60" s="1"/>
  <c r="B15" i="60" s="1"/>
  <c r="B16" i="60" s="1"/>
  <c r="B17" i="60" s="1"/>
  <c r="B18" i="60" s="1"/>
  <c r="B19" i="60" s="1"/>
  <c r="A15" i="60"/>
  <c r="A16" i="60" s="1"/>
  <c r="A17" i="60" s="1"/>
  <c r="A18" i="60" s="1"/>
  <c r="A19" i="60" s="1"/>
  <c r="A20" i="60"/>
  <c r="A21" i="60" s="1"/>
  <c r="A22" i="60" s="1"/>
  <c r="A23" i="60" s="1"/>
  <c r="A24" i="60" s="1"/>
  <c r="A25" i="60" s="1"/>
  <c r="A26" i="60" s="1"/>
  <c r="A27" i="60" s="1"/>
  <c r="A28" i="60" s="1"/>
  <c r="A29" i="60" s="1"/>
  <c r="A30" i="60" s="1"/>
  <c r="A31" i="60" s="1"/>
  <c r="A32" i="60" s="1"/>
  <c r="A33" i="60" s="1"/>
  <c r="B20" i="60"/>
  <c r="B21" i="60" s="1"/>
  <c r="B22" i="60" s="1"/>
  <c r="B23" i="60" s="1"/>
  <c r="B24" i="60" s="1"/>
  <c r="B25" i="60" s="1"/>
  <c r="B26" i="60" s="1"/>
  <c r="B27" i="60" s="1"/>
  <c r="B28" i="60" s="1"/>
  <c r="B29" i="60"/>
  <c r="B30" i="60" s="1"/>
  <c r="B31" i="60" s="1"/>
  <c r="B32" i="60" s="1"/>
  <c r="B33" i="60" s="1"/>
  <c r="C37" i="60"/>
  <c r="D37" i="60"/>
  <c r="E37" i="60"/>
  <c r="F37" i="60"/>
  <c r="G37" i="60"/>
  <c r="B38" i="60"/>
  <c r="B39" i="60" s="1"/>
  <c r="C38" i="60"/>
  <c r="D38" i="60"/>
  <c r="E38" i="60"/>
  <c r="F38" i="60"/>
  <c r="G38" i="60"/>
  <c r="A39" i="60"/>
  <c r="A40" i="60" s="1"/>
  <c r="A41" i="60" s="1"/>
  <c r="B40" i="60"/>
  <c r="B41" i="60" s="1"/>
  <c r="A42" i="60"/>
  <c r="A43" i="60" s="1"/>
  <c r="A44" i="60" s="1"/>
  <c r="B42" i="60"/>
  <c r="B43" i="60" s="1"/>
  <c r="B44" i="60"/>
  <c r="B45" i="60" s="1"/>
  <c r="B46" i="60" s="1"/>
  <c r="B47" i="60" s="1"/>
  <c r="B48" i="60" s="1"/>
  <c r="B49" i="60" s="1"/>
  <c r="B50" i="60" s="1"/>
  <c r="B51" i="60" s="1"/>
  <c r="A45" i="60"/>
  <c r="A46" i="60"/>
  <c r="A47" i="60" s="1"/>
  <c r="A48" i="60" s="1"/>
  <c r="A49" i="60" s="1"/>
  <c r="A50" i="60" s="1"/>
  <c r="A51" i="60" s="1"/>
  <c r="A52" i="60" s="1"/>
  <c r="A53" i="60" s="1"/>
  <c r="A54" i="60" s="1"/>
  <c r="A55" i="60" s="1"/>
  <c r="A56" i="60" s="1"/>
  <c r="A57" i="60" s="1"/>
  <c r="A58" i="60" s="1"/>
  <c r="A59" i="60" s="1"/>
  <c r="A60" i="60" s="1"/>
  <c r="A61" i="60" s="1"/>
  <c r="A62" i="60" s="1"/>
  <c r="A63" i="60" s="1"/>
  <c r="A64" i="60" s="1"/>
  <c r="A65" i="60" s="1"/>
  <c r="A66" i="60" s="1"/>
  <c r="A67" i="60" s="1"/>
  <c r="A68" i="60" s="1"/>
  <c r="B52" i="60"/>
  <c r="B53" i="60" s="1"/>
  <c r="B54" i="60" s="1"/>
  <c r="B55" i="60" s="1"/>
  <c r="B56" i="60"/>
  <c r="B57" i="60" s="1"/>
  <c r="B58" i="60"/>
  <c r="B59" i="60" s="1"/>
  <c r="B60" i="60" s="1"/>
  <c r="B61" i="60" s="1"/>
  <c r="B62" i="60" s="1"/>
  <c r="B63" i="60" s="1"/>
  <c r="B64" i="60" s="1"/>
  <c r="B65" i="60" s="1"/>
  <c r="B66" i="60" s="1"/>
  <c r="B67" i="60" s="1"/>
  <c r="B68" i="60" s="1"/>
  <c r="B3" i="64"/>
  <c r="B4" i="64" s="1"/>
  <c r="B5" i="64" s="1"/>
  <c r="B6" i="64" s="1"/>
  <c r="A5" i="64"/>
  <c r="A6" i="64"/>
  <c r="A7" i="64" s="1"/>
  <c r="A8" i="64" s="1"/>
  <c r="A9" i="64" s="1"/>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B7" i="64"/>
  <c r="B8" i="64" s="1"/>
  <c r="B9" i="64" s="1"/>
  <c r="B10" i="64" s="1"/>
  <c r="B11" i="64" s="1"/>
  <c r="B12" i="64" s="1"/>
  <c r="B13" i="64" s="1"/>
  <c r="B14" i="64" s="1"/>
  <c r="B15" i="64" s="1"/>
  <c r="B16" i="64" s="1"/>
  <c r="B17" i="64" s="1"/>
  <c r="B18" i="64" s="1"/>
  <c r="B19" i="64" s="1"/>
  <c r="B20" i="64" s="1"/>
  <c r="B21" i="64" s="1"/>
  <c r="B22" i="64" s="1"/>
  <c r="B23" i="64" s="1"/>
  <c r="B24" i="64" s="1"/>
  <c r="B25" i="64" s="1"/>
  <c r="B26" i="64" s="1"/>
  <c r="B27" i="64" s="1"/>
  <c r="B28" i="64" s="1"/>
  <c r="B29" i="64" s="1"/>
  <c r="B30" i="64" s="1"/>
  <c r="B31" i="64" s="1"/>
  <c r="B32" i="64" s="1"/>
  <c r="B33" i="64" s="1"/>
  <c r="C38" i="64"/>
  <c r="D38" i="64"/>
  <c r="E38" i="64"/>
  <c r="F38" i="64"/>
  <c r="G38" i="64"/>
  <c r="B39" i="64"/>
  <c r="C39" i="64"/>
  <c r="D39" i="64"/>
  <c r="E39" i="64"/>
  <c r="F39" i="64"/>
  <c r="G39" i="64"/>
  <c r="B40" i="64"/>
  <c r="B41" i="64" s="1"/>
  <c r="B42" i="64" s="1"/>
  <c r="B43" i="64" s="1"/>
  <c r="B44" i="64" s="1"/>
  <c r="B45" i="64" s="1"/>
  <c r="B46" i="64" s="1"/>
  <c r="B47" i="64" s="1"/>
  <c r="A41" i="64"/>
  <c r="A42" i="64" s="1"/>
  <c r="A43" i="64" s="1"/>
  <c r="A44" i="64" s="1"/>
  <c r="A45" i="64" s="1"/>
  <c r="A46" i="64" s="1"/>
  <c r="A47" i="64" s="1"/>
  <c r="A48" i="64" s="1"/>
  <c r="A49" i="64" s="1"/>
  <c r="A50" i="64" s="1"/>
  <c r="A51" i="64" s="1"/>
  <c r="A52" i="64" s="1"/>
  <c r="A53" i="64" s="1"/>
  <c r="A54" i="64" s="1"/>
  <c r="A55" i="64" s="1"/>
  <c r="A56" i="64" s="1"/>
  <c r="A57" i="64" s="1"/>
  <c r="A58" i="64" s="1"/>
  <c r="A59" i="64" s="1"/>
  <c r="A60" i="64" s="1"/>
  <c r="B48" i="64"/>
  <c r="B49" i="64" s="1"/>
  <c r="B50" i="64" s="1"/>
  <c r="B51" i="64" s="1"/>
  <c r="B52" i="64" s="1"/>
  <c r="B53" i="64" s="1"/>
  <c r="B54" i="64" s="1"/>
  <c r="B55" i="64" s="1"/>
  <c r="B56" i="64" s="1"/>
  <c r="B57" i="64" s="1"/>
  <c r="B58" i="64" s="1"/>
  <c r="B59" i="64" s="1"/>
  <c r="B60" i="64" s="1"/>
  <c r="B61" i="64" s="1"/>
  <c r="B62" i="64" s="1"/>
  <c r="B63" i="64" s="1"/>
  <c r="B64" i="64" s="1"/>
  <c r="B65" i="64" s="1"/>
  <c r="A61" i="64"/>
  <c r="A62" i="64" s="1"/>
  <c r="A63" i="64" s="1"/>
  <c r="A64" i="64" s="1"/>
  <c r="A65" i="64" s="1"/>
  <c r="A66" i="64" s="1"/>
  <c r="A67" i="64" s="1"/>
  <c r="A68" i="64" s="1"/>
  <c r="A69" i="64" s="1"/>
  <c r="B66" i="64"/>
  <c r="B67" i="64" s="1"/>
  <c r="B68" i="64" s="1"/>
  <c r="B69" i="64" s="1"/>
  <c r="A3" i="37"/>
  <c r="B3" i="37"/>
  <c r="A37" i="37"/>
  <c r="B37" i="37"/>
  <c r="A69" i="37"/>
  <c r="B69" i="37"/>
  <c r="D69" i="37"/>
  <c r="B3" i="62"/>
  <c r="B4" i="62"/>
  <c r="B5" i="62" s="1"/>
  <c r="B6" i="62" s="1"/>
  <c r="B7" i="62" s="1"/>
  <c r="B8" i="62" s="1"/>
  <c r="B9" i="62" s="1"/>
  <c r="B10" i="62" s="1"/>
  <c r="B11" i="62" s="1"/>
  <c r="B12" i="62" s="1"/>
  <c r="B13" i="62" s="1"/>
  <c r="B14" i="62" s="1"/>
  <c r="B15" i="62" s="1"/>
  <c r="B16" i="62" s="1"/>
  <c r="B17" i="62" s="1"/>
  <c r="B18" i="62" s="1"/>
  <c r="B19" i="62" s="1"/>
  <c r="B20" i="62" s="1"/>
  <c r="B21" i="62" s="1"/>
  <c r="B22" i="62" s="1"/>
  <c r="B23" i="62" s="1"/>
  <c r="B24" i="62" s="1"/>
  <c r="B25" i="62" s="1"/>
  <c r="B26" i="62" s="1"/>
  <c r="B27" i="62" s="1"/>
  <c r="B28" i="62" s="1"/>
  <c r="B29" i="62" s="1"/>
  <c r="B30" i="62" s="1"/>
  <c r="B31" i="62" s="1"/>
  <c r="B32" i="62" s="1"/>
  <c r="B33" i="62" s="1"/>
  <c r="A5" i="62"/>
  <c r="A6" i="62"/>
  <c r="A7" i="62" s="1"/>
  <c r="A8" i="62" s="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B39" i="62"/>
  <c r="B40" i="62" s="1"/>
  <c r="A41" i="62"/>
  <c r="B41" i="62"/>
  <c r="B42" i="62" s="1"/>
  <c r="B43" i="62" s="1"/>
  <c r="B44" i="62" s="1"/>
  <c r="B45" i="62" s="1"/>
  <c r="B46" i="62" s="1"/>
  <c r="A42" i="62"/>
  <c r="A43" i="62"/>
  <c r="A44" i="62" s="1"/>
  <c r="A45" i="62"/>
  <c r="A46" i="62" s="1"/>
  <c r="A47" i="62" s="1"/>
  <c r="A48" i="62" s="1"/>
  <c r="A49" i="62" s="1"/>
  <c r="B47" i="62"/>
  <c r="B48" i="62" s="1"/>
  <c r="B49" i="62" s="1"/>
  <c r="B50" i="62" s="1"/>
  <c r="B51" i="62" s="1"/>
  <c r="B52" i="62" s="1"/>
  <c r="B53" i="62" s="1"/>
  <c r="B54" i="62" s="1"/>
  <c r="B55" i="62" s="1"/>
  <c r="B56" i="62" s="1"/>
  <c r="B57" i="62" s="1"/>
  <c r="B58" i="62" s="1"/>
  <c r="B59" i="62" s="1"/>
  <c r="B60" i="62" s="1"/>
  <c r="B61" i="62" s="1"/>
  <c r="B62" i="62" s="1"/>
  <c r="B63" i="62" s="1"/>
  <c r="B64" i="62" s="1"/>
  <c r="B65" i="62" s="1"/>
  <c r="B66" i="62" s="1"/>
  <c r="B67" i="62" s="1"/>
  <c r="B68" i="62" s="1"/>
  <c r="B69" i="62" s="1"/>
  <c r="A50" i="62"/>
  <c r="A51" i="62" s="1"/>
  <c r="A52" i="62" s="1"/>
  <c r="A53" i="62"/>
  <c r="A54" i="62" s="1"/>
  <c r="A55" i="62" s="1"/>
  <c r="A56" i="62" s="1"/>
  <c r="A57" i="62" s="1"/>
  <c r="A58" i="62" s="1"/>
  <c r="A59" i="62" s="1"/>
  <c r="A60" i="62" s="1"/>
  <c r="A61" i="62" s="1"/>
  <c r="A62" i="62" s="1"/>
  <c r="A63" i="62" s="1"/>
  <c r="A64" i="62" s="1"/>
  <c r="A65" i="62" s="1"/>
  <c r="A66" i="62" s="1"/>
  <c r="A67" i="62" s="1"/>
  <c r="A68" i="62" s="1"/>
  <c r="A69" i="62" s="1"/>
  <c r="D2" i="56"/>
  <c r="D38" i="56"/>
  <c r="E2" i="56"/>
  <c r="B3" i="56"/>
  <c r="D3" i="56"/>
  <c r="D39" i="56" s="1"/>
  <c r="E3" i="56"/>
  <c r="E39" i="56"/>
  <c r="B4" i="56"/>
  <c r="B5" i="56" s="1"/>
  <c r="D4" i="56"/>
  <c r="D40" i="56"/>
  <c r="E4" i="56"/>
  <c r="E40" i="56" s="1"/>
  <c r="A5" i="56"/>
  <c r="D5" i="56"/>
  <c r="E5" i="56"/>
  <c r="E41" i="56"/>
  <c r="A6" i="56"/>
  <c r="D6" i="56"/>
  <c r="E6" i="56"/>
  <c r="E42" i="56" s="1"/>
  <c r="D7" i="56"/>
  <c r="E7" i="56"/>
  <c r="E43" i="56"/>
  <c r="D8" i="56"/>
  <c r="D44" i="56" s="1"/>
  <c r="E8" i="56"/>
  <c r="E44" i="56" s="1"/>
  <c r="D9" i="56"/>
  <c r="E9" i="56"/>
  <c r="E45" i="56" s="1"/>
  <c r="D10" i="56"/>
  <c r="D46" i="56"/>
  <c r="E10" i="56"/>
  <c r="E46" i="56"/>
  <c r="D11" i="56"/>
  <c r="D47" i="56"/>
  <c r="E11" i="56"/>
  <c r="E47" i="56" s="1"/>
  <c r="D12" i="56"/>
  <c r="E12" i="56"/>
  <c r="E48" i="56" s="1"/>
  <c r="D13" i="56"/>
  <c r="E13" i="56"/>
  <c r="E49" i="56" s="1"/>
  <c r="D14" i="56"/>
  <c r="E14" i="56"/>
  <c r="E50" i="56"/>
  <c r="D15" i="56"/>
  <c r="E15" i="56"/>
  <c r="E51" i="56" s="1"/>
  <c r="D16" i="56"/>
  <c r="E16" i="56"/>
  <c r="E52" i="56" s="1"/>
  <c r="D17" i="56"/>
  <c r="D53" i="56" s="1"/>
  <c r="E17" i="56"/>
  <c r="E53" i="56"/>
  <c r="D18" i="56"/>
  <c r="E18" i="56"/>
  <c r="E54" i="56"/>
  <c r="D19" i="56"/>
  <c r="E19" i="56"/>
  <c r="E55" i="56"/>
  <c r="D20" i="56"/>
  <c r="E20" i="56"/>
  <c r="E56" i="56"/>
  <c r="D21" i="56"/>
  <c r="D57" i="56" s="1"/>
  <c r="E21" i="56"/>
  <c r="E57" i="56"/>
  <c r="D22" i="56"/>
  <c r="D58" i="56"/>
  <c r="E22" i="56"/>
  <c r="E58" i="56"/>
  <c r="D23" i="56"/>
  <c r="D59" i="56" s="1"/>
  <c r="E23" i="56"/>
  <c r="E59" i="56"/>
  <c r="D24" i="56"/>
  <c r="D60" i="56" s="1"/>
  <c r="E24" i="56"/>
  <c r="E60" i="56"/>
  <c r="D25" i="56"/>
  <c r="D61" i="56"/>
  <c r="E25" i="56"/>
  <c r="E61" i="56"/>
  <c r="D26" i="56"/>
  <c r="D62" i="56" s="1"/>
  <c r="E26" i="56"/>
  <c r="E62" i="56" s="1"/>
  <c r="D27" i="56"/>
  <c r="E27" i="56"/>
  <c r="E63" i="56"/>
  <c r="D28" i="56"/>
  <c r="D64" i="56" s="1"/>
  <c r="E28" i="56"/>
  <c r="E64" i="56"/>
  <c r="D29" i="56"/>
  <c r="E29" i="56"/>
  <c r="E65" i="56"/>
  <c r="D30" i="56"/>
  <c r="E30" i="56"/>
  <c r="E66" i="56"/>
  <c r="D31" i="56"/>
  <c r="E31" i="56"/>
  <c r="E67" i="56" s="1"/>
  <c r="D32" i="56"/>
  <c r="E32" i="56"/>
  <c r="E68" i="56"/>
  <c r="D33" i="56"/>
  <c r="E33" i="56"/>
  <c r="E69" i="56"/>
  <c r="A38" i="56"/>
  <c r="B38" i="56"/>
  <c r="C38" i="56"/>
  <c r="A39" i="56"/>
  <c r="B39" i="56"/>
  <c r="A40" i="56"/>
  <c r="B40" i="56"/>
  <c r="A41" i="56"/>
  <c r="A70" i="56"/>
  <c r="D2" i="55"/>
  <c r="D38" i="55" s="1"/>
  <c r="A3" i="55"/>
  <c r="B3" i="55"/>
  <c r="D3" i="55"/>
  <c r="B4" i="55"/>
  <c r="B40" i="55" s="1"/>
  <c r="D4" i="55"/>
  <c r="D40" i="55"/>
  <c r="B5" i="55"/>
  <c r="D5" i="55"/>
  <c r="D41" i="55" s="1"/>
  <c r="D6" i="55"/>
  <c r="D42" i="55" s="1"/>
  <c r="D7" i="55"/>
  <c r="D43" i="55" s="1"/>
  <c r="D8" i="55"/>
  <c r="D9" i="55"/>
  <c r="D45" i="55" s="1"/>
  <c r="D10" i="55"/>
  <c r="D11" i="55"/>
  <c r="D12" i="55"/>
  <c r="D48" i="55"/>
  <c r="D13" i="55"/>
  <c r="D49" i="55"/>
  <c r="D14" i="55"/>
  <c r="D50" i="55"/>
  <c r="D15" i="55"/>
  <c r="D51" i="55"/>
  <c r="D16" i="55"/>
  <c r="D52" i="55"/>
  <c r="D17" i="55"/>
  <c r="D53" i="55" s="1"/>
  <c r="D18" i="55"/>
  <c r="D54" i="55"/>
  <c r="D19" i="55"/>
  <c r="D20" i="55"/>
  <c r="D56" i="55" s="1"/>
  <c r="D21" i="55"/>
  <c r="D22" i="55"/>
  <c r="D58" i="55" s="1"/>
  <c r="D23" i="55"/>
  <c r="D59" i="55"/>
  <c r="D24" i="55"/>
  <c r="D25" i="55"/>
  <c r="D61" i="55"/>
  <c r="D26" i="55"/>
  <c r="D62" i="55"/>
  <c r="D27" i="55"/>
  <c r="D63" i="55" s="1"/>
  <c r="D28" i="55"/>
  <c r="D64" i="55" s="1"/>
  <c r="D29" i="55"/>
  <c r="D65" i="55" s="1"/>
  <c r="D30" i="55"/>
  <c r="D66" i="55"/>
  <c r="D31" i="55"/>
  <c r="D32" i="55"/>
  <c r="D68" i="55"/>
  <c r="D33" i="55"/>
  <c r="A38" i="55"/>
  <c r="B38" i="55"/>
  <c r="B39" i="55"/>
  <c r="A70" i="55"/>
  <c r="B70" i="55"/>
  <c r="C1" i="31"/>
  <c r="D2" i="31"/>
  <c r="A3" i="31"/>
  <c r="B3" i="31"/>
  <c r="D3" i="31"/>
  <c r="B4" i="31"/>
  <c r="B40" i="31" s="1"/>
  <c r="D4" i="31"/>
  <c r="D40" i="31"/>
  <c r="B5" i="31"/>
  <c r="D5" i="31"/>
  <c r="D41" i="31"/>
  <c r="D6" i="31"/>
  <c r="D42" i="31"/>
  <c r="D7" i="31"/>
  <c r="D43" i="31"/>
  <c r="D8" i="31"/>
  <c r="D44" i="31"/>
  <c r="D9" i="31"/>
  <c r="D10" i="31"/>
  <c r="D46" i="31" s="1"/>
  <c r="D11" i="31"/>
  <c r="D47" i="31" s="1"/>
  <c r="D12" i="31"/>
  <c r="D48" i="31" s="1"/>
  <c r="D13" i="31"/>
  <c r="D49" i="31" s="1"/>
  <c r="D14" i="31"/>
  <c r="D50" i="31" s="1"/>
  <c r="D15" i="31"/>
  <c r="D51" i="31" s="1"/>
  <c r="D16" i="31"/>
  <c r="D52" i="31" s="1"/>
  <c r="D17" i="31"/>
  <c r="D18" i="31"/>
  <c r="D54" i="31" s="1"/>
  <c r="D19" i="31"/>
  <c r="D55" i="31"/>
  <c r="D20" i="31"/>
  <c r="D56" i="31"/>
  <c r="D21" i="31"/>
  <c r="D57" i="31" s="1"/>
  <c r="D22" i="31"/>
  <c r="D58" i="31" s="1"/>
  <c r="D23" i="31"/>
  <c r="D59" i="31"/>
  <c r="D24" i="31"/>
  <c r="D60" i="31"/>
  <c r="D25" i="31"/>
  <c r="D26" i="31"/>
  <c r="D27" i="31"/>
  <c r="D63" i="31"/>
  <c r="D28" i="31"/>
  <c r="D64" i="31"/>
  <c r="D29" i="31"/>
  <c r="D65" i="31"/>
  <c r="D30" i="31"/>
  <c r="D66" i="31"/>
  <c r="D31" i="31"/>
  <c r="D67" i="31"/>
  <c r="D32" i="31"/>
  <c r="D68" i="31"/>
  <c r="D33" i="31"/>
  <c r="A38" i="31"/>
  <c r="B38" i="31"/>
  <c r="D38" i="31"/>
  <c r="B39" i="31"/>
  <c r="D39" i="31"/>
  <c r="A70" i="31"/>
  <c r="B70" i="31"/>
  <c r="A3" i="70"/>
  <c r="B3" i="70"/>
  <c r="A4" i="70"/>
  <c r="A38" i="70"/>
  <c r="B38" i="70"/>
  <c r="A39" i="70"/>
  <c r="A3" i="69"/>
  <c r="A4" i="69" s="1"/>
  <c r="B3" i="69"/>
  <c r="A38" i="69"/>
  <c r="B38" i="69"/>
  <c r="A39" i="69"/>
  <c r="B4" i="67"/>
  <c r="B5" i="67" s="1"/>
  <c r="C4" i="67"/>
  <c r="C5" i="67"/>
  <c r="B6" i="67"/>
  <c r="B7" i="67" s="1"/>
  <c r="B8" i="67" s="1"/>
  <c r="B9" i="67" s="1"/>
  <c r="B10" i="67" s="1"/>
  <c r="B11" i="67" s="1"/>
  <c r="B12" i="67" s="1"/>
  <c r="B13" i="67" s="1"/>
  <c r="B14" i="67" s="1"/>
  <c r="B15" i="67" s="1"/>
  <c r="B16" i="67" s="1"/>
  <c r="B17" i="67" s="1"/>
  <c r="B18" i="67" s="1"/>
  <c r="C6" i="67"/>
  <c r="C7" i="67" s="1"/>
  <c r="C8" i="67" s="1"/>
  <c r="C9" i="67" s="1"/>
  <c r="C10" i="67" s="1"/>
  <c r="C11" i="67" s="1"/>
  <c r="C12" i="67"/>
  <c r="C13" i="67"/>
  <c r="C14" i="67" s="1"/>
  <c r="C15" i="67" s="1"/>
  <c r="C16" i="67" s="1"/>
  <c r="C17" i="67" s="1"/>
  <c r="C18" i="67" s="1"/>
  <c r="C19" i="67" s="1"/>
  <c r="C20" i="67" s="1"/>
  <c r="C21" i="67" s="1"/>
  <c r="C22" i="67" s="1"/>
  <c r="C23" i="67" s="1"/>
  <c r="C24" i="67" s="1"/>
  <c r="C25" i="67" s="1"/>
  <c r="C26" i="67" s="1"/>
  <c r="C27" i="67" s="1"/>
  <c r="C28" i="67" s="1"/>
  <c r="C29" i="67" s="1"/>
  <c r="C30" i="67" s="1"/>
  <c r="C31" i="67" s="1"/>
  <c r="C32" i="67" s="1"/>
  <c r="C33" i="67" s="1"/>
  <c r="C34" i="67" s="1"/>
  <c r="B19" i="67"/>
  <c r="B20" i="67"/>
  <c r="B21" i="67" s="1"/>
  <c r="B22" i="67" s="1"/>
  <c r="B23" i="67" s="1"/>
  <c r="B24" i="67" s="1"/>
  <c r="B25" i="67" s="1"/>
  <c r="B26" i="67" s="1"/>
  <c r="B27" i="67" s="1"/>
  <c r="B28" i="67" s="1"/>
  <c r="B29" i="67" s="1"/>
  <c r="B30" i="67" s="1"/>
  <c r="B31" i="67" s="1"/>
  <c r="B32" i="67" s="1"/>
  <c r="B33" i="67" s="1"/>
  <c r="B34" i="67" s="1"/>
  <c r="B40" i="67"/>
  <c r="B41" i="67" s="1"/>
  <c r="C40" i="67"/>
  <c r="C41" i="67"/>
  <c r="B42" i="67"/>
  <c r="B43" i="67" s="1"/>
  <c r="B44" i="67" s="1"/>
  <c r="C42" i="67"/>
  <c r="C43" i="67" s="1"/>
  <c r="C44" i="67" s="1"/>
  <c r="C45" i="67" s="1"/>
  <c r="C46" i="67" s="1"/>
  <c r="B45" i="67"/>
  <c r="B46" i="67" s="1"/>
  <c r="B47" i="67" s="1"/>
  <c r="B48" i="67" s="1"/>
  <c r="B49" i="67" s="1"/>
  <c r="B50" i="67" s="1"/>
  <c r="B51" i="67" s="1"/>
  <c r="B52" i="67" s="1"/>
  <c r="B53" i="67" s="1"/>
  <c r="B54" i="67" s="1"/>
  <c r="B55" i="67" s="1"/>
  <c r="B56" i="67" s="1"/>
  <c r="B57" i="67" s="1"/>
  <c r="B58" i="67" s="1"/>
  <c r="B59" i="67" s="1"/>
  <c r="B60" i="67" s="1"/>
  <c r="B61" i="67" s="1"/>
  <c r="B62" i="67" s="1"/>
  <c r="B63" i="67" s="1"/>
  <c r="B64" i="67" s="1"/>
  <c r="B65" i="67" s="1"/>
  <c r="B66" i="67" s="1"/>
  <c r="B67" i="67" s="1"/>
  <c r="B68" i="67" s="1"/>
  <c r="B69" i="67" s="1"/>
  <c r="B70" i="67" s="1"/>
  <c r="C47" i="67"/>
  <c r="C48" i="67" s="1"/>
  <c r="C49" i="67" s="1"/>
  <c r="C50" i="67" s="1"/>
  <c r="C51" i="67" s="1"/>
  <c r="C52" i="67" s="1"/>
  <c r="C53" i="67" s="1"/>
  <c r="C54" i="67" s="1"/>
  <c r="C55" i="67" s="1"/>
  <c r="C56" i="67" s="1"/>
  <c r="C57" i="67" s="1"/>
  <c r="C58" i="67" s="1"/>
  <c r="C59" i="67" s="1"/>
  <c r="C60" i="67" s="1"/>
  <c r="C61" i="67" s="1"/>
  <c r="C62" i="67" s="1"/>
  <c r="C63" i="67" s="1"/>
  <c r="C64" i="67" s="1"/>
  <c r="C65" i="67" s="1"/>
  <c r="C66" i="67" s="1"/>
  <c r="C67" i="67" s="1"/>
  <c r="C68" i="67" s="1"/>
  <c r="C69" i="67"/>
  <c r="C70" i="67" s="1"/>
  <c r="A4" i="63"/>
  <c r="B4" i="63"/>
  <c r="B5" i="63"/>
  <c r="A39" i="63"/>
  <c r="B39" i="63"/>
  <c r="B40" i="63"/>
  <c r="A3" i="65"/>
  <c r="A4" i="65"/>
  <c r="A5" i="65"/>
  <c r="A6" i="65"/>
  <c r="A7" i="65" s="1"/>
  <c r="A8" i="65" s="1"/>
  <c r="A9" i="65"/>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9" i="65"/>
  <c r="A40" i="65" s="1"/>
  <c r="A41" i="65" s="1"/>
  <c r="A42" i="65" s="1"/>
  <c r="A43" i="65"/>
  <c r="A44" i="65" s="1"/>
  <c r="A45" i="65" s="1"/>
  <c r="A46" i="65" s="1"/>
  <c r="A47" i="65" s="1"/>
  <c r="A48" i="65" s="1"/>
  <c r="A49" i="65"/>
  <c r="A50" i="65" s="1"/>
  <c r="A51" i="65" s="1"/>
  <c r="A52" i="65" s="1"/>
  <c r="A53" i="65" s="1"/>
  <c r="A54" i="65" s="1"/>
  <c r="A55" i="65" s="1"/>
  <c r="A56" i="65" s="1"/>
  <c r="A57" i="65"/>
  <c r="A58" i="65"/>
  <c r="A59" i="65" s="1"/>
  <c r="A60" i="65" s="1"/>
  <c r="A61" i="65" s="1"/>
  <c r="A62" i="65" s="1"/>
  <c r="A63" i="65" s="1"/>
  <c r="A64" i="65" s="1"/>
  <c r="A65" i="65" s="1"/>
  <c r="A66" i="65" s="1"/>
  <c r="A67" i="65" s="1"/>
  <c r="A68" i="65" s="1"/>
  <c r="A69" i="65" s="1"/>
  <c r="C2" i="54"/>
  <c r="A3" i="54"/>
  <c r="A4" i="54" s="1"/>
  <c r="A5" i="54"/>
  <c r="A6" i="54" s="1"/>
  <c r="A7" i="54" s="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C2" i="53"/>
  <c r="D2" i="53"/>
  <c r="A3" i="53"/>
  <c r="B3" i="53"/>
  <c r="B4" i="53" s="1"/>
  <c r="B5" i="53" s="1"/>
  <c r="B6" i="53" s="1"/>
  <c r="B7" i="53" s="1"/>
  <c r="B8" i="53" s="1"/>
  <c r="B9" i="53" s="1"/>
  <c r="B10" i="53" s="1"/>
  <c r="B11" i="53" s="1"/>
  <c r="B12" i="53" s="1"/>
  <c r="B13" i="53" s="1"/>
  <c r="B14" i="53" s="1"/>
  <c r="B15" i="53" s="1"/>
  <c r="B16" i="53" s="1"/>
  <c r="B17" i="53" s="1"/>
  <c r="B18" i="53" s="1"/>
  <c r="B19" i="53" s="1"/>
  <c r="B20" i="53" s="1"/>
  <c r="B21" i="53" s="1"/>
  <c r="B22" i="53" s="1"/>
  <c r="B23" i="53" s="1"/>
  <c r="B24" i="53" s="1"/>
  <c r="B25" i="53" s="1"/>
  <c r="B26" i="53" s="1"/>
  <c r="B27" i="53" s="1"/>
  <c r="B28" i="53" s="1"/>
  <c r="B29" i="53" s="1"/>
  <c r="B30" i="53" s="1"/>
  <c r="B31" i="53" s="1"/>
  <c r="B32" i="53" s="1"/>
  <c r="B33" i="53" s="1"/>
  <c r="D3" i="53"/>
  <c r="D39" i="53"/>
  <c r="A4" i="53"/>
  <c r="A5" i="53" s="1"/>
  <c r="A6" i="53" s="1"/>
  <c r="D4" i="53"/>
  <c r="D40" i="53" s="1"/>
  <c r="D5" i="53"/>
  <c r="D6" i="53"/>
  <c r="A7" i="53"/>
  <c r="A8" i="53" s="1"/>
  <c r="A9" i="53" s="1"/>
  <c r="A10" i="53" s="1"/>
  <c r="A11" i="53" s="1"/>
  <c r="D7" i="53"/>
  <c r="D8" i="53"/>
  <c r="D9" i="53"/>
  <c r="D10" i="53"/>
  <c r="D11" i="53"/>
  <c r="A12" i="53"/>
  <c r="A13" i="53" s="1"/>
  <c r="A14" i="53" s="1"/>
  <c r="D12" i="53"/>
  <c r="D13" i="53"/>
  <c r="D14" i="53"/>
  <c r="A15" i="53"/>
  <c r="A16" i="53" s="1"/>
  <c r="A17" i="53" s="1"/>
  <c r="A18" i="53" s="1"/>
  <c r="A19" i="53" s="1"/>
  <c r="A20" i="53" s="1"/>
  <c r="A21" i="53" s="1"/>
  <c r="A22" i="53" s="1"/>
  <c r="A23" i="53" s="1"/>
  <c r="A24" i="53" s="1"/>
  <c r="A25" i="53" s="1"/>
  <c r="A26" i="53" s="1"/>
  <c r="A27" i="53" s="1"/>
  <c r="A28" i="53" s="1"/>
  <c r="A29" i="53" s="1"/>
  <c r="A30" i="53" s="1"/>
  <c r="A31" i="53" s="1"/>
  <c r="A32" i="53" s="1"/>
  <c r="A33" i="53" s="1"/>
  <c r="D15" i="53"/>
  <c r="D16" i="53"/>
  <c r="D17" i="53"/>
  <c r="D18" i="53"/>
  <c r="D19" i="53"/>
  <c r="D20" i="53"/>
  <c r="D56" i="53" s="1"/>
  <c r="D21" i="53"/>
  <c r="D57" i="53" s="1"/>
  <c r="D22" i="53"/>
  <c r="D23" i="53"/>
  <c r="D24" i="53"/>
  <c r="D25" i="53"/>
  <c r="D61" i="53" s="1"/>
  <c r="D26" i="53"/>
  <c r="D27" i="53"/>
  <c r="D63" i="53"/>
  <c r="D28" i="53"/>
  <c r="D29" i="53"/>
  <c r="D30" i="53"/>
  <c r="D31" i="53"/>
  <c r="D67" i="53"/>
  <c r="D32" i="53"/>
  <c r="D33" i="53"/>
  <c r="C38" i="53"/>
  <c r="A39" i="53"/>
  <c r="B39" i="53"/>
  <c r="B40" i="53" s="1"/>
  <c r="A40" i="53"/>
  <c r="A41" i="53"/>
  <c r="B41" i="53"/>
  <c r="A42" i="53"/>
  <c r="A43" i="53" s="1"/>
  <c r="A44" i="53" s="1"/>
  <c r="A45" i="53" s="1"/>
  <c r="A46" i="53" s="1"/>
  <c r="A47" i="53" s="1"/>
  <c r="B42" i="53"/>
  <c r="B43" i="53" s="1"/>
  <c r="B44" i="53" s="1"/>
  <c r="B45" i="53" s="1"/>
  <c r="B46" i="53" s="1"/>
  <c r="B47" i="53" s="1"/>
  <c r="B48" i="53" s="1"/>
  <c r="B49" i="53" s="1"/>
  <c r="B50" i="53" s="1"/>
  <c r="B51" i="53" s="1"/>
  <c r="B52" i="53" s="1"/>
  <c r="A48" i="53"/>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B53" i="53"/>
  <c r="B54" i="53" s="1"/>
  <c r="B55" i="53" s="1"/>
  <c r="B56" i="53" s="1"/>
  <c r="B57" i="53" s="1"/>
  <c r="B58" i="53" s="1"/>
  <c r="B59" i="53" s="1"/>
  <c r="B60" i="53" s="1"/>
  <c r="B61" i="53" s="1"/>
  <c r="B62" i="53" s="1"/>
  <c r="B63" i="53" s="1"/>
  <c r="B64" i="53" s="1"/>
  <c r="B65" i="53" s="1"/>
  <c r="B66" i="53" s="1"/>
  <c r="B67" i="53" s="1"/>
  <c r="B68" i="53" s="1"/>
  <c r="B69" i="53" s="1"/>
  <c r="A2" i="52"/>
  <c r="C2" i="52"/>
  <c r="A3" i="52"/>
  <c r="C3" i="52"/>
  <c r="D3" i="52"/>
  <c r="F3" i="52"/>
  <c r="A4" i="52"/>
  <c r="C4" i="52"/>
  <c r="F4" i="52" s="1"/>
  <c r="D4" i="52"/>
  <c r="E4" i="52" s="1"/>
  <c r="C2" i="56" s="1"/>
  <c r="G4" i="52"/>
  <c r="C5" i="52"/>
  <c r="C6" i="52" s="1"/>
  <c r="A6" i="52"/>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G6" i="52"/>
  <c r="G7" i="52"/>
  <c r="G8" i="52"/>
  <c r="G9" i="52"/>
  <c r="G10" i="52"/>
  <c r="G11" i="52"/>
  <c r="G12" i="52"/>
  <c r="G13" i="52"/>
  <c r="G14" i="52"/>
  <c r="G15" i="52"/>
  <c r="D16" i="52"/>
  <c r="G16" i="52"/>
  <c r="D17" i="52"/>
  <c r="D18" i="52" s="1"/>
  <c r="G17" i="52"/>
  <c r="D2" i="27"/>
  <c r="A3" i="27"/>
  <c r="A4" i="27" s="1"/>
  <c r="B3" i="27"/>
  <c r="B39" i="27" s="1"/>
  <c r="D3" i="27"/>
  <c r="D39" i="27" s="1"/>
  <c r="B4" i="27"/>
  <c r="D4" i="27"/>
  <c r="D40" i="27" s="1"/>
  <c r="D5" i="27"/>
  <c r="D41" i="27"/>
  <c r="D6" i="27"/>
  <c r="D42" i="27" s="1"/>
  <c r="D7" i="27"/>
  <c r="D43" i="27"/>
  <c r="D8" i="27"/>
  <c r="D44" i="27"/>
  <c r="D9" i="27"/>
  <c r="D45" i="27" s="1"/>
  <c r="D10" i="27"/>
  <c r="D46" i="27" s="1"/>
  <c r="D11" i="27"/>
  <c r="D47" i="27" s="1"/>
  <c r="D12" i="27"/>
  <c r="D48" i="27" s="1"/>
  <c r="D13" i="27"/>
  <c r="D49" i="27"/>
  <c r="D14" i="27"/>
  <c r="D50" i="27" s="1"/>
  <c r="D15" i="27"/>
  <c r="D51" i="27"/>
  <c r="D16" i="27"/>
  <c r="D52" i="27"/>
  <c r="D17" i="27"/>
  <c r="D53" i="27"/>
  <c r="D18" i="27"/>
  <c r="D54" i="27"/>
  <c r="D19" i="27"/>
  <c r="D55" i="27" s="1"/>
  <c r="D20" i="27"/>
  <c r="D56" i="27"/>
  <c r="D21" i="27"/>
  <c r="D57" i="27"/>
  <c r="D22" i="27"/>
  <c r="D58" i="27" s="1"/>
  <c r="D23" i="27"/>
  <c r="D59" i="27"/>
  <c r="D24" i="27"/>
  <c r="D60" i="27"/>
  <c r="D25" i="27"/>
  <c r="D61" i="27" s="1"/>
  <c r="D26" i="27"/>
  <c r="D62" i="27" s="1"/>
  <c r="D27" i="27"/>
  <c r="D63" i="27" s="1"/>
  <c r="D28" i="27"/>
  <c r="D64" i="27" s="1"/>
  <c r="D29" i="27"/>
  <c r="D65" i="27"/>
  <c r="D30" i="27"/>
  <c r="D66" i="27" s="1"/>
  <c r="D31" i="27"/>
  <c r="D67" i="27" s="1"/>
  <c r="D32" i="27"/>
  <c r="D68" i="27"/>
  <c r="D33" i="27"/>
  <c r="D69" i="27"/>
  <c r="A38" i="27"/>
  <c r="B38" i="27"/>
  <c r="D38" i="27"/>
  <c r="A39" i="27"/>
  <c r="A70" i="27"/>
  <c r="B70" i="27"/>
  <c r="A3" i="61"/>
  <c r="E3" i="61"/>
  <c r="F3" i="61"/>
  <c r="F39" i="61"/>
  <c r="A4" i="61"/>
  <c r="B4" i="61"/>
  <c r="E4" i="61"/>
  <c r="A5" i="61"/>
  <c r="E5" i="61"/>
  <c r="E41" i="61" s="1"/>
  <c r="A6" i="61"/>
  <c r="A7" i="61" s="1"/>
  <c r="E6" i="61"/>
  <c r="E42" i="61" s="1"/>
  <c r="E7" i="61"/>
  <c r="E43" i="61" s="1"/>
  <c r="E8" i="61"/>
  <c r="E44" i="61" s="1"/>
  <c r="E9" i="61"/>
  <c r="E45" i="61" s="1"/>
  <c r="E10" i="61"/>
  <c r="E46" i="61" s="1"/>
  <c r="E11" i="61"/>
  <c r="E47" i="61" s="1"/>
  <c r="E12" i="61"/>
  <c r="E48" i="61" s="1"/>
  <c r="E13" i="61"/>
  <c r="E49" i="61" s="1"/>
  <c r="E14" i="61"/>
  <c r="E50" i="61"/>
  <c r="E15" i="61"/>
  <c r="E51" i="61"/>
  <c r="E16" i="61"/>
  <c r="E52" i="61"/>
  <c r="E17" i="61"/>
  <c r="E53" i="61" s="1"/>
  <c r="E18" i="61"/>
  <c r="E54" i="61"/>
  <c r="E19" i="61"/>
  <c r="E55" i="61"/>
  <c r="E20" i="61"/>
  <c r="E56" i="61"/>
  <c r="E21" i="61"/>
  <c r="E57" i="61" s="1"/>
  <c r="E22" i="61"/>
  <c r="E58" i="61"/>
  <c r="E23" i="61"/>
  <c r="E59" i="61"/>
  <c r="E24" i="61"/>
  <c r="E60" i="61"/>
  <c r="E25" i="61"/>
  <c r="E61" i="61" s="1"/>
  <c r="E26" i="61"/>
  <c r="E62" i="61"/>
  <c r="E27" i="61"/>
  <c r="E63" i="61" s="1"/>
  <c r="E28" i="61"/>
  <c r="E64" i="61"/>
  <c r="E29" i="61"/>
  <c r="E65" i="61" s="1"/>
  <c r="E30" i="61"/>
  <c r="E66" i="61"/>
  <c r="E31" i="61"/>
  <c r="E67" i="61"/>
  <c r="E32" i="61"/>
  <c r="E68" i="61"/>
  <c r="E33" i="61"/>
  <c r="E69" i="61" s="1"/>
  <c r="E34" i="61"/>
  <c r="E70" i="61"/>
  <c r="A39" i="61"/>
  <c r="B39" i="61"/>
  <c r="A40" i="61"/>
  <c r="A41" i="61"/>
  <c r="A4" i="26"/>
  <c r="B4" i="26"/>
  <c r="A5" i="26"/>
  <c r="A41" i="26" s="1"/>
  <c r="B5" i="26"/>
  <c r="B41" i="26" s="1"/>
  <c r="A6" i="26"/>
  <c r="B6" i="26"/>
  <c r="B42" i="26" s="1"/>
  <c r="A39" i="26"/>
  <c r="B39" i="26"/>
  <c r="A40" i="26"/>
  <c r="B40" i="26"/>
  <c r="K3" i="59"/>
  <c r="M3" i="59" s="1"/>
  <c r="M49" i="59" s="1"/>
  <c r="L3" i="59"/>
  <c r="K4" i="59"/>
  <c r="L4" i="59"/>
  <c r="K5" i="59"/>
  <c r="M5" i="59" s="1"/>
  <c r="L5" i="59"/>
  <c r="K6" i="59"/>
  <c r="L6" i="59"/>
  <c r="K7" i="59"/>
  <c r="M7" i="59" s="1"/>
  <c r="L7" i="59"/>
  <c r="K8" i="59"/>
  <c r="L8" i="59"/>
  <c r="K9" i="59"/>
  <c r="M9" i="59" s="1"/>
  <c r="M55" i="59" s="1"/>
  <c r="L9" i="59"/>
  <c r="E10" i="59"/>
  <c r="K10" i="59"/>
  <c r="L10" i="59"/>
  <c r="M10" i="59"/>
  <c r="M56" i="59" s="1"/>
  <c r="K11" i="59"/>
  <c r="L11" i="59"/>
  <c r="L57" i="59" s="1"/>
  <c r="K12" i="59"/>
  <c r="L12" i="59"/>
  <c r="F14" i="59"/>
  <c r="E15" i="59"/>
  <c r="E16" i="59"/>
  <c r="F16" i="59"/>
  <c r="F17" i="59"/>
  <c r="F18" i="59" s="1"/>
  <c r="F19" i="59"/>
  <c r="F20" i="59" s="1"/>
  <c r="F66" i="59" s="1"/>
  <c r="E49" i="59"/>
  <c r="K49" i="59"/>
  <c r="L49" i="59"/>
  <c r="E50" i="59"/>
  <c r="L50" i="59"/>
  <c r="E51" i="59"/>
  <c r="K51" i="59"/>
  <c r="L51" i="59"/>
  <c r="M51" i="59"/>
  <c r="E52" i="59"/>
  <c r="L52" i="59"/>
  <c r="E53" i="59"/>
  <c r="K53" i="59"/>
  <c r="L53" i="59"/>
  <c r="M53" i="59"/>
  <c r="E54" i="59"/>
  <c r="L54" i="59"/>
  <c r="E55" i="59"/>
  <c r="K55" i="59"/>
  <c r="L55" i="59"/>
  <c r="K56" i="59"/>
  <c r="L56" i="59"/>
  <c r="L58" i="59"/>
  <c r="E59" i="59"/>
  <c r="G59" i="59"/>
  <c r="H59" i="59"/>
  <c r="I59" i="59"/>
  <c r="J59" i="59"/>
  <c r="K59" i="59"/>
  <c r="L59" i="59"/>
  <c r="E60" i="59"/>
  <c r="G60" i="59"/>
  <c r="H60" i="59"/>
  <c r="I60" i="59"/>
  <c r="J60" i="59"/>
  <c r="K60" i="59"/>
  <c r="L60" i="59"/>
  <c r="E61" i="59"/>
  <c r="F61" i="59"/>
  <c r="G61" i="59"/>
  <c r="H61" i="59"/>
  <c r="I61" i="59"/>
  <c r="J61" i="59"/>
  <c r="K61" i="59"/>
  <c r="L61" i="59"/>
  <c r="F62" i="59"/>
  <c r="G62" i="59"/>
  <c r="H62" i="59"/>
  <c r="I62" i="59"/>
  <c r="J62" i="59"/>
  <c r="K62" i="59"/>
  <c r="L62" i="59"/>
  <c r="G63" i="59"/>
  <c r="H63" i="59"/>
  <c r="I63" i="59"/>
  <c r="J63" i="59"/>
  <c r="K63" i="59"/>
  <c r="L63" i="59"/>
  <c r="F64" i="59"/>
  <c r="G64" i="59"/>
  <c r="H64" i="59"/>
  <c r="I64" i="59"/>
  <c r="J64" i="59"/>
  <c r="K64" i="59"/>
  <c r="L64" i="59"/>
  <c r="F65" i="59"/>
  <c r="G65" i="59"/>
  <c r="H65" i="59"/>
  <c r="I65" i="59"/>
  <c r="J65" i="59"/>
  <c r="K65" i="59"/>
  <c r="L65" i="59"/>
  <c r="G66" i="59"/>
  <c r="H66" i="59"/>
  <c r="I66" i="59"/>
  <c r="J66" i="59"/>
  <c r="K66" i="59"/>
  <c r="L66" i="59"/>
  <c r="G67" i="59"/>
  <c r="H67" i="59"/>
  <c r="I67" i="59"/>
  <c r="J67" i="59"/>
  <c r="K67" i="59"/>
  <c r="L67" i="59"/>
  <c r="G68" i="59"/>
  <c r="H68" i="59"/>
  <c r="I68" i="59"/>
  <c r="J68" i="59"/>
  <c r="K68" i="59"/>
  <c r="L68" i="59"/>
  <c r="G69" i="59"/>
  <c r="H69" i="59"/>
  <c r="I69" i="59"/>
  <c r="J69" i="59"/>
  <c r="K69" i="59"/>
  <c r="L69" i="59"/>
  <c r="G70" i="59"/>
  <c r="H70" i="59"/>
  <c r="I70" i="59"/>
  <c r="J70" i="59"/>
  <c r="K70" i="59"/>
  <c r="L70" i="59"/>
  <c r="G71" i="59"/>
  <c r="H71" i="59"/>
  <c r="I71" i="59"/>
  <c r="J71" i="59"/>
  <c r="K71" i="59"/>
  <c r="L71" i="59"/>
  <c r="G72" i="59"/>
  <c r="H72" i="59"/>
  <c r="I72" i="59"/>
  <c r="J72" i="59"/>
  <c r="K72" i="59"/>
  <c r="L72" i="59"/>
  <c r="G73" i="59"/>
  <c r="H73" i="59"/>
  <c r="I73" i="59"/>
  <c r="J73" i="59"/>
  <c r="K73" i="59"/>
  <c r="L73" i="59"/>
  <c r="G74" i="59"/>
  <c r="H74" i="59"/>
  <c r="I74" i="59"/>
  <c r="J74" i="59"/>
  <c r="K74" i="59"/>
  <c r="L74" i="59"/>
  <c r="G75" i="59"/>
  <c r="H75" i="59"/>
  <c r="I75" i="59"/>
  <c r="J75" i="59"/>
  <c r="K75" i="59"/>
  <c r="L75" i="59"/>
  <c r="G76" i="59"/>
  <c r="H76" i="59"/>
  <c r="I76" i="59"/>
  <c r="J76" i="59"/>
  <c r="K76" i="59"/>
  <c r="L76" i="59"/>
  <c r="G77" i="59"/>
  <c r="H77" i="59"/>
  <c r="I77" i="59"/>
  <c r="J77" i="59"/>
  <c r="K77" i="59"/>
  <c r="L77" i="59"/>
  <c r="G78" i="59"/>
  <c r="H78" i="59"/>
  <c r="I78" i="59"/>
  <c r="J78" i="59"/>
  <c r="K78" i="59"/>
  <c r="L78" i="59"/>
  <c r="G79" i="59"/>
  <c r="H79" i="59"/>
  <c r="I79" i="59"/>
  <c r="J79" i="59"/>
  <c r="K79" i="59"/>
  <c r="L79" i="59"/>
  <c r="G80" i="59"/>
  <c r="H80" i="59"/>
  <c r="I80" i="59"/>
  <c r="J80" i="59"/>
  <c r="K80" i="59"/>
  <c r="L80" i="59"/>
  <c r="G81" i="59"/>
  <c r="H81" i="59"/>
  <c r="I81" i="59"/>
  <c r="J81" i="59"/>
  <c r="K81" i="59"/>
  <c r="L81" i="59"/>
  <c r="G82" i="59"/>
  <c r="H82" i="59"/>
  <c r="I82" i="59"/>
  <c r="J82" i="59"/>
  <c r="K82" i="59"/>
  <c r="L82" i="59"/>
  <c r="G83" i="59"/>
  <c r="H83" i="59"/>
  <c r="I83" i="59"/>
  <c r="J83" i="59"/>
  <c r="K83" i="59"/>
  <c r="L83" i="59"/>
  <c r="G84" i="59"/>
  <c r="H84" i="59"/>
  <c r="I84" i="59"/>
  <c r="J84" i="59"/>
  <c r="K84" i="59"/>
  <c r="L84" i="59"/>
  <c r="G85" i="59"/>
  <c r="H85" i="59"/>
  <c r="I85" i="59"/>
  <c r="J85" i="59"/>
  <c r="K85" i="59"/>
  <c r="L85" i="59"/>
  <c r="G86" i="59"/>
  <c r="H86" i="59"/>
  <c r="I86" i="59"/>
  <c r="J86" i="59"/>
  <c r="K86" i="59"/>
  <c r="L86" i="59"/>
  <c r="G87" i="59"/>
  <c r="H87" i="59"/>
  <c r="I87" i="59"/>
  <c r="J87" i="59"/>
  <c r="K87" i="59"/>
  <c r="L87" i="59"/>
  <c r="G88" i="59"/>
  <c r="H88" i="59"/>
  <c r="I88" i="59"/>
  <c r="J88" i="59"/>
  <c r="K88" i="59"/>
  <c r="L88" i="59"/>
  <c r="G89" i="59"/>
  <c r="H89" i="59"/>
  <c r="I89" i="59"/>
  <c r="J89" i="59"/>
  <c r="K89" i="59"/>
  <c r="L89" i="59"/>
  <c r="G90" i="59"/>
  <c r="H90" i="59"/>
  <c r="I90" i="59"/>
  <c r="J90" i="59"/>
  <c r="K90" i="59"/>
  <c r="L90" i="59"/>
  <c r="G91" i="59"/>
  <c r="H91" i="59"/>
  <c r="I91" i="59"/>
  <c r="J91" i="59"/>
  <c r="K91" i="59"/>
  <c r="L91" i="59"/>
  <c r="B12" i="1"/>
  <c r="F5" i="61"/>
  <c r="F41" i="61" s="1"/>
  <c r="B14" i="1"/>
  <c r="B27" i="1"/>
  <c r="D2" i="37"/>
  <c r="D37" i="37" s="1"/>
  <c r="B49" i="1"/>
  <c r="C4" i="71" s="1"/>
  <c r="F32" i="61"/>
  <c r="F68" i="61"/>
  <c r="F10" i="61"/>
  <c r="F46" i="61" s="1"/>
  <c r="F26" i="61"/>
  <c r="F62" i="61" s="1"/>
  <c r="F16" i="61"/>
  <c r="F52" i="61" s="1"/>
  <c r="F28" i="61"/>
  <c r="F64" i="61"/>
  <c r="F18" i="61"/>
  <c r="F54" i="61" s="1"/>
  <c r="F30" i="61"/>
  <c r="F66" i="61" s="1"/>
  <c r="F14" i="61"/>
  <c r="F50" i="61" s="1"/>
  <c r="F20" i="61"/>
  <c r="F56" i="61"/>
  <c r="F22" i="61"/>
  <c r="F58" i="61" s="1"/>
  <c r="F6" i="61"/>
  <c r="F42" i="61" s="1"/>
  <c r="F24" i="61"/>
  <c r="F60" i="61" s="1"/>
  <c r="F8" i="61"/>
  <c r="F44" i="61" s="1"/>
  <c r="G4" i="71"/>
  <c r="G5" i="71" s="1"/>
  <c r="D23" i="37"/>
  <c r="D58" i="37" s="1"/>
  <c r="F33" i="61"/>
  <c r="F69" i="61" s="1"/>
  <c r="F31" i="61"/>
  <c r="F67" i="61" s="1"/>
  <c r="F29" i="61"/>
  <c r="F65" i="61" s="1"/>
  <c r="F27" i="61"/>
  <c r="F63" i="61" s="1"/>
  <c r="F25" i="61"/>
  <c r="F61" i="61"/>
  <c r="F23" i="61"/>
  <c r="F59" i="61" s="1"/>
  <c r="F21" i="61"/>
  <c r="F57" i="61" s="1"/>
  <c r="F19" i="61"/>
  <c r="F55" i="61" s="1"/>
  <c r="F17" i="61"/>
  <c r="F53" i="61"/>
  <c r="F15" i="61"/>
  <c r="F51" i="61" s="1"/>
  <c r="F13" i="61"/>
  <c r="F49" i="61" s="1"/>
  <c r="F11" i="61"/>
  <c r="F47" i="61" s="1"/>
  <c r="F9" i="61"/>
  <c r="F45" i="61" s="1"/>
  <c r="F7" i="61"/>
  <c r="F43" i="61" s="1"/>
  <c r="D4" i="71"/>
  <c r="P4" i="71" s="1"/>
  <c r="P5" i="71"/>
  <c r="D47" i="53"/>
  <c r="E39" i="61"/>
  <c r="D7" i="37"/>
  <c r="D42" i="37" s="1"/>
  <c r="D24" i="63"/>
  <c r="D60" i="63" s="1"/>
  <c r="D14" i="37"/>
  <c r="D49" i="37" s="1"/>
  <c r="D15" i="37"/>
  <c r="D50" i="37"/>
  <c r="D6" i="37"/>
  <c r="D41" i="37"/>
  <c r="D64" i="53"/>
  <c r="D43" i="53"/>
  <c r="D66" i="53"/>
  <c r="D59" i="53"/>
  <c r="D20" i="37"/>
  <c r="D55" i="37" s="1"/>
  <c r="D4" i="37"/>
  <c r="D39" i="37"/>
  <c r="D27" i="63"/>
  <c r="D63" i="63" s="1"/>
  <c r="D33" i="37"/>
  <c r="D68" i="37" s="1"/>
  <c r="D17" i="37"/>
  <c r="D52" i="37"/>
  <c r="D11" i="37"/>
  <c r="D46" i="37"/>
  <c r="D51" i="53"/>
  <c r="D32" i="37"/>
  <c r="D67" i="37" s="1"/>
  <c r="D16" i="37"/>
  <c r="D51" i="37"/>
  <c r="D19" i="37"/>
  <c r="D54" i="37"/>
  <c r="D53" i="53"/>
  <c r="D29" i="37"/>
  <c r="D64" i="37"/>
  <c r="D21" i="37"/>
  <c r="D56" i="37" s="1"/>
  <c r="D13" i="37"/>
  <c r="D48" i="37" s="1"/>
  <c r="D5" i="37"/>
  <c r="D40" i="37" s="1"/>
  <c r="D26" i="37"/>
  <c r="D61" i="37"/>
  <c r="D10" i="37"/>
  <c r="D45" i="37"/>
  <c r="D46" i="53"/>
  <c r="D68" i="53"/>
  <c r="D69" i="53"/>
  <c r="D48" i="53"/>
  <c r="D58" i="53"/>
  <c r="D54" i="53"/>
  <c r="D52" i="53"/>
  <c r="D62" i="53"/>
  <c r="D45" i="53"/>
  <c r="D44" i="53"/>
  <c r="D42" i="53"/>
  <c r="D49" i="53"/>
  <c r="D50" i="53"/>
  <c r="D55" i="53"/>
  <c r="D41" i="53"/>
  <c r="D60" i="53"/>
  <c r="D65" i="53"/>
  <c r="D38" i="53"/>
  <c r="D69" i="55"/>
  <c r="D62" i="31"/>
  <c r="D60" i="55"/>
  <c r="D55" i="55"/>
  <c r="D47" i="55"/>
  <c r="D54" i="56"/>
  <c r="D69" i="56"/>
  <c r="D48" i="56"/>
  <c r="D55" i="56"/>
  <c r="D65" i="56"/>
  <c r="D50" i="56"/>
  <c r="D49" i="56"/>
  <c r="D63" i="56"/>
  <c r="D68" i="56"/>
  <c r="D52" i="56"/>
  <c r="D56" i="56"/>
  <c r="D45" i="56"/>
  <c r="D67" i="56"/>
  <c r="D41" i="56"/>
  <c r="D51" i="56"/>
  <c r="D42" i="56"/>
  <c r="D43" i="56"/>
  <c r="D66" i="56"/>
  <c r="B44" i="39"/>
  <c r="B45" i="39" s="1"/>
  <c r="B46" i="39" s="1"/>
  <c r="B47" i="39" s="1"/>
  <c r="B48" i="39" s="1"/>
  <c r="B49" i="39" s="1"/>
  <c r="B50" i="39" s="1"/>
  <c r="B51" i="39" s="1"/>
  <c r="B52" i="39" s="1"/>
  <c r="B53" i="39" s="1"/>
  <c r="B54" i="39" s="1"/>
  <c r="B55" i="39" s="1"/>
  <c r="B56" i="39" s="1"/>
  <c r="B57" i="39" s="1"/>
  <c r="B58" i="39" s="1"/>
  <c r="B59" i="39" s="1"/>
  <c r="B60" i="39" s="1"/>
  <c r="B61" i="39" s="1"/>
  <c r="B62" i="39" s="1"/>
  <c r="B63" i="39" s="1"/>
  <c r="B64" i="39" s="1"/>
  <c r="B65" i="39" s="1"/>
  <c r="B66" i="39" s="1"/>
  <c r="B67" i="39" s="1"/>
  <c r="B68" i="39" s="1"/>
  <c r="B69" i="39" s="1"/>
  <c r="B70" i="39" s="1"/>
  <c r="B71" i="39" s="1"/>
  <c r="B72" i="39" s="1"/>
  <c r="D67" i="55"/>
  <c r="D46" i="55"/>
  <c r="D44" i="55"/>
  <c r="D57" i="55"/>
  <c r="D39" i="55"/>
  <c r="D69" i="31"/>
  <c r="D61" i="31"/>
  <c r="D53" i="31"/>
  <c r="D45" i="31"/>
  <c r="E57" i="47"/>
  <c r="G72" i="51" l="1"/>
  <c r="K40" i="51"/>
  <c r="E75" i="51" s="1"/>
  <c r="B38" i="51"/>
  <c r="J73" i="51" s="1"/>
  <c r="F72" i="51"/>
  <c r="C38" i="51"/>
  <c r="I73" i="51" s="1"/>
  <c r="E74" i="51"/>
  <c r="J13" i="47"/>
  <c r="F13" i="47"/>
  <c r="N13" i="47"/>
  <c r="E5" i="66"/>
  <c r="I5" i="66" s="1"/>
  <c r="F16" i="47"/>
  <c r="E17" i="59"/>
  <c r="E62" i="59"/>
  <c r="E40" i="61"/>
  <c r="F4" i="61"/>
  <c r="F40" i="61" s="1"/>
  <c r="E38" i="56"/>
  <c r="F2" i="56"/>
  <c r="M11" i="59"/>
  <c r="M57" i="59" s="1"/>
  <c r="K57" i="59"/>
  <c r="B40" i="61"/>
  <c r="B5" i="61"/>
  <c r="B7" i="26"/>
  <c r="G3" i="52"/>
  <c r="H3" i="52" s="1"/>
  <c r="F13" i="59"/>
  <c r="F60" i="59"/>
  <c r="F6" i="52"/>
  <c r="H6" i="52" s="1"/>
  <c r="C7" i="52"/>
  <c r="E6" i="52"/>
  <c r="D22" i="63"/>
  <c r="D58" i="63" s="1"/>
  <c r="D19" i="63"/>
  <c r="D55" i="63" s="1"/>
  <c r="D34" i="63"/>
  <c r="D70" i="63" s="1"/>
  <c r="D23" i="63"/>
  <c r="D59" i="63" s="1"/>
  <c r="D20" i="63"/>
  <c r="D56" i="63" s="1"/>
  <c r="D29" i="63"/>
  <c r="D65" i="63" s="1"/>
  <c r="D30" i="63"/>
  <c r="D66" i="63" s="1"/>
  <c r="D9" i="63"/>
  <c r="D45" i="63" s="1"/>
  <c r="D4" i="63"/>
  <c r="D40" i="63" s="1"/>
  <c r="D17" i="63"/>
  <c r="D53" i="63" s="1"/>
  <c r="D21" i="63"/>
  <c r="D57" i="63" s="1"/>
  <c r="D14" i="63"/>
  <c r="D50" i="63" s="1"/>
  <c r="D6" i="63"/>
  <c r="D42" i="63" s="1"/>
  <c r="D3" i="63"/>
  <c r="D18" i="63"/>
  <c r="D54" i="63" s="1"/>
  <c r="D7" i="63"/>
  <c r="D43" i="63" s="1"/>
  <c r="D8" i="63"/>
  <c r="D44" i="63" s="1"/>
  <c r="D11" i="63"/>
  <c r="D47" i="63" s="1"/>
  <c r="D26" i="63"/>
  <c r="D62" i="63" s="1"/>
  <c r="D32" i="63"/>
  <c r="D68" i="63" s="1"/>
  <c r="D28" i="63"/>
  <c r="D64" i="63" s="1"/>
  <c r="D5" i="63"/>
  <c r="D41" i="63" s="1"/>
  <c r="D13" i="63"/>
  <c r="D49" i="63" s="1"/>
  <c r="D10" i="63"/>
  <c r="D46" i="63" s="1"/>
  <c r="D31" i="63"/>
  <c r="D67" i="63" s="1"/>
  <c r="D16" i="63"/>
  <c r="D52" i="63" s="1"/>
  <c r="D25" i="63"/>
  <c r="D61" i="63" s="1"/>
  <c r="D15" i="63"/>
  <c r="D51" i="63" s="1"/>
  <c r="D12" i="63"/>
  <c r="D48" i="63" s="1"/>
  <c r="B5" i="27"/>
  <c r="B40" i="27"/>
  <c r="D33" i="63"/>
  <c r="D69" i="63" s="1"/>
  <c r="D2" i="52"/>
  <c r="G2" i="52" s="1"/>
  <c r="E2" i="52"/>
  <c r="F2" i="52"/>
  <c r="F21" i="59"/>
  <c r="M6" i="59"/>
  <c r="M52" i="59" s="1"/>
  <c r="K52" i="59"/>
  <c r="M8" i="59"/>
  <c r="M54" i="59" s="1"/>
  <c r="K54" i="59"/>
  <c r="A42" i="26"/>
  <c r="A7" i="26"/>
  <c r="A42" i="61"/>
  <c r="I64" i="39"/>
  <c r="I101" i="39" s="1"/>
  <c r="F4" i="71"/>
  <c r="F5" i="71" s="1"/>
  <c r="E4" i="71"/>
  <c r="E5" i="71" s="1"/>
  <c r="I4" i="71"/>
  <c r="I5" i="71" s="1"/>
  <c r="H4" i="71"/>
  <c r="H5" i="71" s="1"/>
  <c r="M4" i="59"/>
  <c r="M50" i="59" s="1"/>
  <c r="K50" i="59"/>
  <c r="A8" i="61"/>
  <c r="A43" i="61"/>
  <c r="D5" i="52"/>
  <c r="G5" i="52" s="1"/>
  <c r="E5" i="52"/>
  <c r="F5" i="52"/>
  <c r="I46" i="39"/>
  <c r="I83" i="39" s="1"/>
  <c r="M12" i="59"/>
  <c r="K58" i="59"/>
  <c r="H4" i="52"/>
  <c r="A5" i="63"/>
  <c r="A40" i="63"/>
  <c r="B39" i="69"/>
  <c r="B4" i="69"/>
  <c r="G49" i="39"/>
  <c r="G86" i="39" s="1"/>
  <c r="I12" i="39"/>
  <c r="D12" i="37"/>
  <c r="D47" i="37" s="1"/>
  <c r="D9" i="37"/>
  <c r="D44" i="37" s="1"/>
  <c r="D3" i="37"/>
  <c r="D38" i="37" s="1"/>
  <c r="D8" i="37"/>
  <c r="D43" i="37" s="1"/>
  <c r="D18" i="37"/>
  <c r="D53" i="37" s="1"/>
  <c r="D30" i="37"/>
  <c r="D65" i="37" s="1"/>
  <c r="D22" i="37"/>
  <c r="D57" i="37" s="1"/>
  <c r="D31" i="37"/>
  <c r="D66" i="37" s="1"/>
  <c r="D28" i="37"/>
  <c r="D63" i="37" s="1"/>
  <c r="D25" i="37"/>
  <c r="D60" i="37" s="1"/>
  <c r="D24" i="37"/>
  <c r="D59" i="37" s="1"/>
  <c r="D27" i="37"/>
  <c r="D62" i="37" s="1"/>
  <c r="E56" i="59"/>
  <c r="E11" i="59"/>
  <c r="B4" i="70"/>
  <c r="B39" i="70"/>
  <c r="B6" i="55"/>
  <c r="B41" i="55"/>
  <c r="I15" i="47"/>
  <c r="E15" i="47"/>
  <c r="M15" i="47"/>
  <c r="K15" i="47"/>
  <c r="C15" i="47"/>
  <c r="N15" i="47"/>
  <c r="D15" i="47"/>
  <c r="F15" i="47"/>
  <c r="G15" i="47"/>
  <c r="L15" i="47"/>
  <c r="H15" i="47"/>
  <c r="E23" i="45"/>
  <c r="I54" i="39"/>
  <c r="I91" i="39" s="1"/>
  <c r="F63" i="59"/>
  <c r="G2" i="54"/>
  <c r="D2" i="54"/>
  <c r="E2" i="54"/>
  <c r="F2" i="54"/>
  <c r="H45" i="39"/>
  <c r="H82" i="39" s="1"/>
  <c r="K8" i="39"/>
  <c r="K45" i="39" s="1"/>
  <c r="K82" i="39" s="1"/>
  <c r="A5" i="27"/>
  <c r="A40" i="27"/>
  <c r="E2" i="53"/>
  <c r="A5" i="69"/>
  <c r="A40" i="69"/>
  <c r="A39" i="31"/>
  <c r="A4" i="31"/>
  <c r="I47" i="39"/>
  <c r="I84" i="39" s="1"/>
  <c r="B41" i="63"/>
  <c r="B6" i="63"/>
  <c r="B41" i="31"/>
  <c r="B6" i="31"/>
  <c r="F14" i="47"/>
  <c r="N14" i="47"/>
  <c r="J14" i="47"/>
  <c r="C14" i="47"/>
  <c r="M14" i="47"/>
  <c r="E14" i="47"/>
  <c r="G14" i="47"/>
  <c r="D5" i="66"/>
  <c r="D7" i="66" s="1"/>
  <c r="H7" i="66" s="1"/>
  <c r="I14" i="47"/>
  <c r="D14" i="47"/>
  <c r="H14" i="47"/>
  <c r="K14" i="47"/>
  <c r="E37" i="45"/>
  <c r="L14" i="47"/>
  <c r="I60" i="39"/>
  <c r="I97" i="39" s="1"/>
  <c r="I52" i="39"/>
  <c r="I89" i="39" s="1"/>
  <c r="H47" i="39"/>
  <c r="H84" i="39" s="1"/>
  <c r="F12" i="61"/>
  <c r="F48" i="61" s="1"/>
  <c r="F34" i="61"/>
  <c r="F70" i="61" s="1"/>
  <c r="A4" i="55"/>
  <c r="A39" i="55"/>
  <c r="E11" i="47"/>
  <c r="M11" i="47"/>
  <c r="I11" i="47"/>
  <c r="J11" i="47"/>
  <c r="L11" i="47"/>
  <c r="C11" i="47"/>
  <c r="N11" i="47"/>
  <c r="F11" i="47"/>
  <c r="G11" i="47"/>
  <c r="D11" i="47"/>
  <c r="C36" i="47"/>
  <c r="H11" i="47"/>
  <c r="D19" i="52"/>
  <c r="G18" i="52"/>
  <c r="G58" i="39"/>
  <c r="G95" i="39" s="1"/>
  <c r="I21" i="39"/>
  <c r="I55" i="39"/>
  <c r="I92" i="39" s="1"/>
  <c r="B11" i="71"/>
  <c r="B45" i="71"/>
  <c r="H69" i="39"/>
  <c r="H106" i="39" s="1"/>
  <c r="A7" i="56"/>
  <c r="A42" i="56"/>
  <c r="B6" i="56"/>
  <c r="B41" i="56"/>
  <c r="A45" i="71"/>
  <c r="A11" i="71"/>
  <c r="H61" i="39"/>
  <c r="H98" i="39" s="1"/>
  <c r="G57" i="39"/>
  <c r="G94" i="39" s="1"/>
  <c r="I20" i="39"/>
  <c r="E3" i="52"/>
  <c r="I24" i="39"/>
  <c r="G61" i="39"/>
  <c r="G98" i="39" s="1"/>
  <c r="I50" i="39"/>
  <c r="I87" i="39" s="1"/>
  <c r="B8" i="39"/>
  <c r="B9" i="39" s="1"/>
  <c r="L9" i="39" s="1"/>
  <c r="L46" i="39" s="1"/>
  <c r="L83" i="39" s="1"/>
  <c r="K7" i="39"/>
  <c r="K44" i="39" s="1"/>
  <c r="K81" i="39" s="1"/>
  <c r="J7" i="39"/>
  <c r="J44" i="39" s="1"/>
  <c r="J81" i="39" s="1"/>
  <c r="E70" i="51"/>
  <c r="K36" i="51"/>
  <c r="E71" i="51" s="1"/>
  <c r="B27" i="72"/>
  <c r="B28" i="72" s="1"/>
  <c r="B29" i="72" s="1"/>
  <c r="B30" i="72" s="1"/>
  <c r="B31" i="72" s="1"/>
  <c r="B32" i="72" s="1"/>
  <c r="B33" i="72" s="1"/>
  <c r="B34" i="72" s="1"/>
  <c r="B35" i="72" s="1"/>
  <c r="B36" i="72" s="1"/>
  <c r="B37" i="72" s="1"/>
  <c r="Q26" i="72"/>
  <c r="H67" i="39"/>
  <c r="H104" i="39" s="1"/>
  <c r="I30" i="39"/>
  <c r="H59" i="39"/>
  <c r="H96" i="39" s="1"/>
  <c r="I22" i="39"/>
  <c r="N40" i="72"/>
  <c r="A4" i="37"/>
  <c r="A38" i="37"/>
  <c r="I71" i="39"/>
  <c r="I108" i="39" s="1"/>
  <c r="A5" i="70"/>
  <c r="A40" i="70"/>
  <c r="H71" i="39"/>
  <c r="H108" i="39" s="1"/>
  <c r="G62" i="39"/>
  <c r="G99" i="39" s="1"/>
  <c r="I25" i="39"/>
  <c r="O40" i="72"/>
  <c r="I68" i="39"/>
  <c r="I105" i="39" s="1"/>
  <c r="I8" i="39"/>
  <c r="G45" i="39"/>
  <c r="G82" i="39" s="1"/>
  <c r="J8" i="39"/>
  <c r="J45" i="39" s="1"/>
  <c r="J82" i="39" s="1"/>
  <c r="C44" i="47"/>
  <c r="Q21" i="72"/>
  <c r="Q16" i="72"/>
  <c r="H12" i="47"/>
  <c r="D12" i="47"/>
  <c r="L12" i="47"/>
  <c r="G12" i="47"/>
  <c r="J12" i="47"/>
  <c r="K12" i="47"/>
  <c r="I12" i="47"/>
  <c r="M12" i="47"/>
  <c r="C5" i="66"/>
  <c r="E12" i="47"/>
  <c r="E29" i="45"/>
  <c r="I70" i="39"/>
  <c r="I107" i="39" s="1"/>
  <c r="F12" i="47"/>
  <c r="B4" i="37"/>
  <c r="B38" i="37"/>
  <c r="I66" i="39"/>
  <c r="I103" i="39" s="1"/>
  <c r="H49" i="39"/>
  <c r="H86" i="39" s="1"/>
  <c r="C12" i="47"/>
  <c r="K7" i="51"/>
  <c r="E46" i="51" s="1"/>
  <c r="E45" i="51"/>
  <c r="D16" i="47"/>
  <c r="L16" i="47"/>
  <c r="H16" i="47"/>
  <c r="I16" i="47"/>
  <c r="K16" i="47"/>
  <c r="M16" i="47"/>
  <c r="G16" i="47"/>
  <c r="J16" i="47"/>
  <c r="G70" i="39"/>
  <c r="G107" i="39" s="1"/>
  <c r="G69" i="39"/>
  <c r="G106" i="39" s="1"/>
  <c r="I32" i="39"/>
  <c r="H55" i="39"/>
  <c r="H92" i="39" s="1"/>
  <c r="G53" i="39"/>
  <c r="G90" i="39" s="1"/>
  <c r="I16" i="39"/>
  <c r="G50" i="39"/>
  <c r="G87" i="39" s="1"/>
  <c r="E16" i="47"/>
  <c r="P17" i="72"/>
  <c r="Q17" i="72" s="1"/>
  <c r="G66" i="39"/>
  <c r="G103" i="39" s="1"/>
  <c r="G65" i="39"/>
  <c r="G102" i="39" s="1"/>
  <c r="I28" i="39"/>
  <c r="C7" i="66"/>
  <c r="A8" i="66"/>
  <c r="Q23" i="72"/>
  <c r="H63" i="39"/>
  <c r="H100" i="39" s="1"/>
  <c r="C13" i="47"/>
  <c r="K13" i="47"/>
  <c r="G13" i="47"/>
  <c r="E13" i="47"/>
  <c r="H13" i="47"/>
  <c r="I13" i="47"/>
  <c r="G55" i="39"/>
  <c r="G92" i="39" s="1"/>
  <c r="G47" i="39"/>
  <c r="G84" i="39" s="1"/>
  <c r="D13" i="47"/>
  <c r="E38" i="51"/>
  <c r="H73" i="51" s="1"/>
  <c r="H72" i="51"/>
  <c r="H51" i="39"/>
  <c r="H88" i="39" s="1"/>
  <c r="H43" i="39"/>
  <c r="H80" i="39" s="1"/>
  <c r="K6" i="39"/>
  <c r="K43" i="39" s="1"/>
  <c r="K80" i="39" s="1"/>
  <c r="E68" i="47"/>
  <c r="E56" i="47"/>
  <c r="P19" i="72"/>
  <c r="Q19" i="72" s="1"/>
  <c r="Q18" i="72"/>
  <c r="Q15" i="72"/>
  <c r="E15" i="45"/>
  <c r="G67" i="39"/>
  <c r="G104" i="39" s="1"/>
  <c r="G59" i="39"/>
  <c r="G96" i="39" s="1"/>
  <c r="G51" i="39"/>
  <c r="G88" i="39" s="1"/>
  <c r="J6" i="39"/>
  <c r="J43" i="39" s="1"/>
  <c r="J80" i="39" s="1"/>
  <c r="M13" i="47"/>
  <c r="J38" i="51"/>
  <c r="D73" i="51" s="1"/>
  <c r="D72" i="51"/>
  <c r="P35" i="72"/>
  <c r="P33" i="72"/>
  <c r="Q25" i="72"/>
  <c r="P22" i="72"/>
  <c r="Q22" i="72" s="1"/>
  <c r="Q20" i="72"/>
  <c r="P34" i="72"/>
  <c r="Q34" i="72" s="1"/>
  <c r="P14" i="72"/>
  <c r="Q14" i="72" s="1"/>
  <c r="P12" i="72"/>
  <c r="Q12" i="72" s="1"/>
  <c r="P30" i="72"/>
  <c r="P28" i="72"/>
  <c r="L40" i="72"/>
  <c r="P10" i="72"/>
  <c r="Q10" i="72" s="1"/>
  <c r="E44" i="51"/>
  <c r="K30" i="51"/>
  <c r="E65" i="51" s="1"/>
  <c r="K37" i="51"/>
  <c r="H38" i="51"/>
  <c r="B73" i="51" s="1"/>
  <c r="M40" i="72"/>
  <c r="E6" i="66" l="1"/>
  <c r="I6" i="66" s="1"/>
  <c r="E43" i="47"/>
  <c r="E3" i="39"/>
  <c r="E7" i="66"/>
  <c r="I7" i="66" s="1"/>
  <c r="F17" i="47"/>
  <c r="N17" i="47"/>
  <c r="M5" i="48" s="1"/>
  <c r="E46" i="47"/>
  <c r="E76" i="47" s="1"/>
  <c r="E38" i="45"/>
  <c r="C5" i="39"/>
  <c r="E73" i="47"/>
  <c r="E40" i="39"/>
  <c r="E77" i="39" s="1"/>
  <c r="B39" i="37"/>
  <c r="B5" i="37"/>
  <c r="Q27" i="72"/>
  <c r="B42" i="55"/>
  <c r="B7" i="55"/>
  <c r="A41" i="63"/>
  <c r="A6" i="63"/>
  <c r="C8" i="66"/>
  <c r="A9" i="66"/>
  <c r="D8" i="66"/>
  <c r="H8" i="66" s="1"/>
  <c r="E8" i="66"/>
  <c r="I8" i="66" s="1"/>
  <c r="Q29" i="72"/>
  <c r="O26" i="47"/>
  <c r="C45" i="47"/>
  <c r="F3" i="39"/>
  <c r="O12" i="47"/>
  <c r="E45" i="47"/>
  <c r="E75" i="47" s="1"/>
  <c r="F5" i="39"/>
  <c r="F42" i="39" s="1"/>
  <c r="F79" i="39" s="1"/>
  <c r="Q36" i="72"/>
  <c r="A6" i="70"/>
  <c r="A41" i="70"/>
  <c r="I59" i="39"/>
  <c r="I96" i="39" s="1"/>
  <c r="A46" i="71"/>
  <c r="A12" i="71"/>
  <c r="C17" i="47"/>
  <c r="C43" i="47"/>
  <c r="O24" i="47"/>
  <c r="O11" i="47"/>
  <c r="D3" i="39"/>
  <c r="A40" i="31"/>
  <c r="A5" i="31"/>
  <c r="H5" i="52"/>
  <c r="Q5" i="71"/>
  <c r="H2" i="52"/>
  <c r="F38" i="56"/>
  <c r="G2" i="56"/>
  <c r="G38" i="56" s="1"/>
  <c r="J9" i="39"/>
  <c r="J46" i="39" s="1"/>
  <c r="J83" i="39" s="1"/>
  <c r="O13" i="47"/>
  <c r="F7" i="66"/>
  <c r="J7" i="66" s="1"/>
  <c r="G7" i="66"/>
  <c r="E44" i="47"/>
  <c r="E74" i="47" s="1"/>
  <c r="E5" i="39"/>
  <c r="E42" i="39" s="1"/>
  <c r="E79" i="39" s="1"/>
  <c r="I61" i="39"/>
  <c r="I98" i="39" s="1"/>
  <c r="G19" i="52"/>
  <c r="D20" i="52"/>
  <c r="L17" i="47"/>
  <c r="O15" i="47"/>
  <c r="C3" i="39"/>
  <c r="B5" i="70"/>
  <c r="B40" i="70"/>
  <c r="A6" i="27"/>
  <c r="A41" i="27"/>
  <c r="D44" i="47"/>
  <c r="D74" i="47" s="1"/>
  <c r="E4" i="39"/>
  <c r="E41" i="39" s="1"/>
  <c r="E78" i="39" s="1"/>
  <c r="I69" i="39"/>
  <c r="I106" i="39" s="1"/>
  <c r="D45" i="47"/>
  <c r="D75" i="47" s="1"/>
  <c r="F4" i="39"/>
  <c r="F41" i="39" s="1"/>
  <c r="F78" i="39" s="1"/>
  <c r="B12" i="71"/>
  <c r="B46" i="71"/>
  <c r="H5" i="66"/>
  <c r="D6" i="66"/>
  <c r="H6" i="66" s="1"/>
  <c r="Q28" i="72"/>
  <c r="Q33" i="72"/>
  <c r="Q31" i="72"/>
  <c r="I65" i="39"/>
  <c r="I102" i="39" s="1"/>
  <c r="C74" i="47"/>
  <c r="I67" i="39"/>
  <c r="I104" i="39" s="1"/>
  <c r="B7" i="56"/>
  <c r="B42" i="56"/>
  <c r="E36" i="47"/>
  <c r="C66" i="47"/>
  <c r="I17" i="47"/>
  <c r="D5" i="39"/>
  <c r="D46" i="47"/>
  <c r="D76" i="47" s="1"/>
  <c r="A6" i="69"/>
  <c r="A41" i="69"/>
  <c r="E12" i="59"/>
  <c r="E58" i="59" s="1"/>
  <c r="E57" i="59"/>
  <c r="B3" i="59"/>
  <c r="C3" i="59"/>
  <c r="M13" i="59"/>
  <c r="M58" i="59"/>
  <c r="A3" i="59"/>
  <c r="A9" i="61"/>
  <c r="A44" i="61"/>
  <c r="B6" i="27"/>
  <c r="B41" i="27"/>
  <c r="E7" i="52"/>
  <c r="F7" i="52"/>
  <c r="H7" i="52" s="1"/>
  <c r="C8" i="52"/>
  <c r="B6" i="61"/>
  <c r="B41" i="61"/>
  <c r="I45" i="39"/>
  <c r="I82" i="39" s="1"/>
  <c r="L8" i="39"/>
  <c r="L45" i="39" s="1"/>
  <c r="L82" i="39" s="1"/>
  <c r="F59" i="59"/>
  <c r="F12" i="59"/>
  <c r="B38" i="72"/>
  <c r="Q37" i="72"/>
  <c r="A5" i="55"/>
  <c r="A40" i="55"/>
  <c r="C3" i="54"/>
  <c r="C3" i="56"/>
  <c r="C3" i="53"/>
  <c r="I62" i="39"/>
  <c r="I99" i="39" s="1"/>
  <c r="J17" i="47"/>
  <c r="C4" i="56"/>
  <c r="C4" i="53"/>
  <c r="C4" i="54"/>
  <c r="Q30" i="72"/>
  <c r="D17" i="47"/>
  <c r="B42" i="63"/>
  <c r="B7" i="63"/>
  <c r="F2" i="53"/>
  <c r="E38" i="53"/>
  <c r="B5" i="69"/>
  <c r="B40" i="69"/>
  <c r="D39" i="63"/>
  <c r="D35" i="63"/>
  <c r="A5" i="37"/>
  <c r="A39" i="37"/>
  <c r="E5" i="48"/>
  <c r="E4" i="48"/>
  <c r="C46" i="47"/>
  <c r="O27" i="47"/>
  <c r="O14" i="47"/>
  <c r="G27" i="47" s="1"/>
  <c r="O25" i="47"/>
  <c r="H17" i="47"/>
  <c r="B42" i="31"/>
  <c r="B7" i="31"/>
  <c r="C42" i="39"/>
  <c r="C79" i="39" s="1"/>
  <c r="G5" i="39"/>
  <c r="I49" i="39"/>
  <c r="I86" i="39" s="1"/>
  <c r="B43" i="26"/>
  <c r="B8" i="26"/>
  <c r="Q35" i="72"/>
  <c r="K9" i="39"/>
  <c r="K46" i="39" s="1"/>
  <c r="K83" i="39" s="1"/>
  <c r="B10" i="39"/>
  <c r="I57" i="39"/>
  <c r="I94" i="39" s="1"/>
  <c r="M17" i="47"/>
  <c r="K38" i="51"/>
  <c r="E73" i="51" s="1"/>
  <c r="E72" i="51"/>
  <c r="Q32" i="72"/>
  <c r="I53" i="39"/>
  <c r="I90" i="39" s="1"/>
  <c r="O16" i="47"/>
  <c r="G25" i="47" s="1"/>
  <c r="F5" i="66"/>
  <c r="J5" i="66" s="1"/>
  <c r="C6" i="66"/>
  <c r="G5" i="66"/>
  <c r="A43" i="56"/>
  <c r="A8" i="56"/>
  <c r="I58" i="39"/>
  <c r="I95" i="39" s="1"/>
  <c r="G17" i="47"/>
  <c r="D4" i="39"/>
  <c r="D43" i="47"/>
  <c r="E17" i="47"/>
  <c r="K17" i="47"/>
  <c r="C4" i="39"/>
  <c r="A8" i="26"/>
  <c r="A43" i="26"/>
  <c r="F67" i="59"/>
  <c r="F22" i="59"/>
  <c r="E18" i="59"/>
  <c r="E63" i="59"/>
  <c r="M4" i="48" l="1"/>
  <c r="M6" i="48" s="1"/>
  <c r="J4" i="48"/>
  <c r="J5" i="48"/>
  <c r="G5" i="48"/>
  <c r="G4" i="48"/>
  <c r="G6" i="48" s="1"/>
  <c r="M14" i="59"/>
  <c r="M59" i="59"/>
  <c r="K5" i="48"/>
  <c r="K4" i="48"/>
  <c r="K6" i="48" s="1"/>
  <c r="A6" i="31"/>
  <c r="A41" i="31"/>
  <c r="D9" i="66"/>
  <c r="H9" i="66" s="1"/>
  <c r="E9" i="66"/>
  <c r="I9" i="66" s="1"/>
  <c r="A10" i="66"/>
  <c r="C9" i="66"/>
  <c r="H4" i="48"/>
  <c r="H5" i="48"/>
  <c r="D21" i="52"/>
  <c r="G20" i="52"/>
  <c r="B6" i="37"/>
  <c r="B40" i="37"/>
  <c r="E19" i="59"/>
  <c r="E64" i="59"/>
  <c r="D73" i="47"/>
  <c r="D47" i="47"/>
  <c r="D77" i="47" s="1"/>
  <c r="G6" i="66"/>
  <c r="F6" i="66"/>
  <c r="J6" i="66" s="1"/>
  <c r="L4" i="48"/>
  <c r="L5" i="48"/>
  <c r="C27" i="47"/>
  <c r="G57" i="47"/>
  <c r="C39" i="53"/>
  <c r="E3" i="53"/>
  <c r="B47" i="71"/>
  <c r="B13" i="71"/>
  <c r="A7" i="27"/>
  <c r="A42" i="27"/>
  <c r="D36" i="39"/>
  <c r="D73" i="39" s="1"/>
  <c r="D110" i="39" s="1"/>
  <c r="H3" i="39"/>
  <c r="D40" i="39"/>
  <c r="D77" i="39" s="1"/>
  <c r="F40" i="39"/>
  <c r="F77" i="39" s="1"/>
  <c r="F36" i="39"/>
  <c r="F73" i="39" s="1"/>
  <c r="F110" i="39" s="1"/>
  <c r="A7" i="63"/>
  <c r="A42" i="63"/>
  <c r="F68" i="59"/>
  <c r="F23" i="59"/>
  <c r="D41" i="39"/>
  <c r="D78" i="39" s="1"/>
  <c r="H4" i="39"/>
  <c r="O57" i="47"/>
  <c r="S27" i="47"/>
  <c r="F4" i="54"/>
  <c r="E4" i="54"/>
  <c r="D4" i="60" s="1"/>
  <c r="G4" i="54"/>
  <c r="E4" i="60" s="1"/>
  <c r="D4" i="54"/>
  <c r="C4" i="60" s="1"/>
  <c r="C39" i="56"/>
  <c r="F3" i="56"/>
  <c r="B7" i="27"/>
  <c r="B42" i="27"/>
  <c r="E66" i="47"/>
  <c r="G36" i="47"/>
  <c r="O17" i="47"/>
  <c r="G24" i="47"/>
  <c r="C39" i="47"/>
  <c r="C75" i="47"/>
  <c r="F45" i="47"/>
  <c r="F75" i="47" s="1"/>
  <c r="E36" i="39"/>
  <c r="E73" i="39" s="1"/>
  <c r="E110" i="39" s="1"/>
  <c r="A6" i="37"/>
  <c r="A40" i="37"/>
  <c r="B39" i="72"/>
  <c r="Q39" i="72" s="1"/>
  <c r="Q38" i="72"/>
  <c r="F4" i="48"/>
  <c r="F5" i="48"/>
  <c r="G42" i="39"/>
  <c r="G79" i="39" s="1"/>
  <c r="J5" i="39"/>
  <c r="J42" i="39" s="1"/>
  <c r="J79" i="39" s="1"/>
  <c r="C40" i="53"/>
  <c r="E4" i="53"/>
  <c r="O54" i="47"/>
  <c r="O28" i="47"/>
  <c r="P27" i="47" s="1"/>
  <c r="P57" i="47" s="1"/>
  <c r="O56" i="47"/>
  <c r="S26" i="47"/>
  <c r="B11" i="39"/>
  <c r="J10" i="39"/>
  <c r="J47" i="39" s="1"/>
  <c r="J84" i="39" s="1"/>
  <c r="L10" i="39"/>
  <c r="L47" i="39" s="1"/>
  <c r="L84" i="39" s="1"/>
  <c r="K10" i="39"/>
  <c r="K47" i="39" s="1"/>
  <c r="K84" i="39" s="1"/>
  <c r="E6" i="48"/>
  <c r="C40" i="56"/>
  <c r="F4" i="56"/>
  <c r="A45" i="61"/>
  <c r="A10" i="61"/>
  <c r="B43" i="56"/>
  <c r="B8" i="56"/>
  <c r="B41" i="70"/>
  <c r="B6" i="70"/>
  <c r="C47" i="47"/>
  <c r="C77" i="47" s="1"/>
  <c r="F43" i="47"/>
  <c r="C73" i="47"/>
  <c r="A42" i="70"/>
  <c r="A7" i="70"/>
  <c r="E47" i="47"/>
  <c r="E77" i="47" s="1"/>
  <c r="D42" i="39"/>
  <c r="D79" i="39" s="1"/>
  <c r="H5" i="39"/>
  <c r="I5" i="39" s="1"/>
  <c r="A13" i="71"/>
  <c r="A47" i="71"/>
  <c r="D4" i="48"/>
  <c r="D5" i="48"/>
  <c r="F11" i="59"/>
  <c r="F58" i="59"/>
  <c r="F44" i="47"/>
  <c r="F74" i="47" s="1"/>
  <c r="D39" i="47"/>
  <c r="G26" i="47"/>
  <c r="B8" i="31"/>
  <c r="B43" i="31"/>
  <c r="C2" i="55"/>
  <c r="F38" i="53"/>
  <c r="I4" i="48"/>
  <c r="I5" i="48"/>
  <c r="A6" i="55"/>
  <c r="A41" i="55"/>
  <c r="B42" i="61"/>
  <c r="B7" i="61"/>
  <c r="A42" i="69"/>
  <c r="A7" i="69"/>
  <c r="G3" i="39"/>
  <c r="C36" i="39"/>
  <c r="C73" i="39" s="1"/>
  <c r="C110" i="39" s="1"/>
  <c r="C40" i="39"/>
  <c r="C77" i="39" s="1"/>
  <c r="B5" i="48"/>
  <c r="B4" i="48"/>
  <c r="B44" i="26"/>
  <c r="B9" i="26"/>
  <c r="S25" i="47"/>
  <c r="G35" i="47"/>
  <c r="O55" i="47"/>
  <c r="C5" i="48"/>
  <c r="C4" i="48"/>
  <c r="C6" i="48" s="1"/>
  <c r="C5" i="54"/>
  <c r="C5" i="53"/>
  <c r="C5" i="56"/>
  <c r="G8" i="66"/>
  <c r="F8" i="66"/>
  <c r="J8" i="66" s="1"/>
  <c r="G55" i="47"/>
  <c r="C25" i="47"/>
  <c r="F46" i="47"/>
  <c r="F76" i="47" s="1"/>
  <c r="C76" i="47"/>
  <c r="B6" i="69"/>
  <c r="B41" i="69"/>
  <c r="D3" i="54"/>
  <c r="G3" i="54"/>
  <c r="F3" i="54"/>
  <c r="E3" i="54"/>
  <c r="B8" i="55"/>
  <c r="B43" i="55"/>
  <c r="A44" i="26"/>
  <c r="A9" i="26"/>
  <c r="C41" i="39"/>
  <c r="C78" i="39" s="1"/>
  <c r="G4" i="39"/>
  <c r="A9" i="56"/>
  <c r="A44" i="56"/>
  <c r="B43" i="63"/>
  <c r="B8" i="63"/>
  <c r="C9" i="52"/>
  <c r="F8" i="52"/>
  <c r="H8" i="52" s="1"/>
  <c r="E8" i="52"/>
  <c r="B42" i="69" l="1"/>
  <c r="B7" i="69"/>
  <c r="E2" i="55"/>
  <c r="C38" i="55"/>
  <c r="C39" i="60"/>
  <c r="F4" i="60"/>
  <c r="B6" i="48"/>
  <c r="C7" i="72"/>
  <c r="N4" i="48"/>
  <c r="F73" i="47"/>
  <c r="F47" i="47"/>
  <c r="F77" i="47" s="1"/>
  <c r="D39" i="60"/>
  <c r="G9" i="66"/>
  <c r="F9" i="66"/>
  <c r="J9" i="66" s="1"/>
  <c r="A10" i="56"/>
  <c r="A45" i="56"/>
  <c r="C55" i="47"/>
  <c r="Q25" i="47"/>
  <c r="N5" i="48"/>
  <c r="D7" i="72"/>
  <c r="K7" i="72" s="1"/>
  <c r="C26" i="47"/>
  <c r="G56" i="47"/>
  <c r="A14" i="71"/>
  <c r="A48" i="71"/>
  <c r="P26" i="47"/>
  <c r="P56" i="47" s="1"/>
  <c r="Q27" i="47"/>
  <c r="C57" i="47"/>
  <c r="E20" i="59"/>
  <c r="E65" i="59"/>
  <c r="E10" i="66"/>
  <c r="I10" i="66" s="1"/>
  <c r="A11" i="66"/>
  <c r="C10" i="66"/>
  <c r="D10" i="66"/>
  <c r="H10" i="66" s="1"/>
  <c r="C2" i="70"/>
  <c r="D3" i="67"/>
  <c r="C2" i="69"/>
  <c r="M60" i="59"/>
  <c r="C3" i="26"/>
  <c r="M15" i="59"/>
  <c r="C41" i="53"/>
  <c r="E5" i="53"/>
  <c r="G5" i="54"/>
  <c r="E5" i="60" s="1"/>
  <c r="E40" i="60" s="1"/>
  <c r="E5" i="54"/>
  <c r="D5" i="60" s="1"/>
  <c r="D40" i="60" s="1"/>
  <c r="D5" i="54"/>
  <c r="C5" i="60" s="1"/>
  <c r="F5" i="54"/>
  <c r="B43" i="61"/>
  <c r="B8" i="61"/>
  <c r="S56" i="47"/>
  <c r="A7" i="37"/>
  <c r="A41" i="37"/>
  <c r="F24" i="59"/>
  <c r="F69" i="59"/>
  <c r="D34" i="47"/>
  <c r="D64" i="47" s="1"/>
  <c r="D69" i="47"/>
  <c r="B42" i="70"/>
  <c r="B7" i="70"/>
  <c r="G65" i="47"/>
  <c r="P24" i="47"/>
  <c r="P54" i="47" s="1"/>
  <c r="C8" i="72"/>
  <c r="F6" i="48"/>
  <c r="C34" i="47"/>
  <c r="C69" i="47"/>
  <c r="E24" i="47"/>
  <c r="C24" i="47" s="1"/>
  <c r="E39" i="47"/>
  <c r="B43" i="27"/>
  <c r="B8" i="27"/>
  <c r="B14" i="71"/>
  <c r="B48" i="71"/>
  <c r="L6" i="48"/>
  <c r="B41" i="37"/>
  <c r="B7" i="37"/>
  <c r="B9" i="63"/>
  <c r="B44" i="63"/>
  <c r="B45" i="26"/>
  <c r="B10" i="26"/>
  <c r="A11" i="61"/>
  <c r="A46" i="61"/>
  <c r="B44" i="55"/>
  <c r="B9" i="55"/>
  <c r="E39" i="60"/>
  <c r="H6" i="48"/>
  <c r="B44" i="31"/>
  <c r="B9" i="31"/>
  <c r="C6" i="56"/>
  <c r="C6" i="54"/>
  <c r="C6" i="53"/>
  <c r="G41" i="39"/>
  <c r="G78" i="39" s="1"/>
  <c r="J4" i="39"/>
  <c r="J41" i="39" s="1"/>
  <c r="J78" i="39" s="1"/>
  <c r="I4" i="39"/>
  <c r="H42" i="39"/>
  <c r="H79" i="39" s="1"/>
  <c r="K5" i="39"/>
  <c r="K42" i="39" s="1"/>
  <c r="K79" i="39" s="1"/>
  <c r="O58" i="47"/>
  <c r="P28" i="47"/>
  <c r="P58" i="47" s="1"/>
  <c r="E9" i="52"/>
  <c r="F9" i="52"/>
  <c r="H9" i="52" s="1"/>
  <c r="C10" i="52"/>
  <c r="A10" i="26"/>
  <c r="A45" i="26"/>
  <c r="S55" i="47"/>
  <c r="G40" i="39"/>
  <c r="G77" i="39" s="1"/>
  <c r="I3" i="39"/>
  <c r="J3" i="39"/>
  <c r="G36" i="39"/>
  <c r="G73" i="39" s="1"/>
  <c r="G110" i="39" s="1"/>
  <c r="I6" i="48"/>
  <c r="B44" i="56"/>
  <c r="B9" i="56"/>
  <c r="G28" i="47"/>
  <c r="G58" i="47" s="1"/>
  <c r="G54" i="47"/>
  <c r="G3" i="56"/>
  <c r="F39" i="56"/>
  <c r="D9" i="72"/>
  <c r="K9" i="72" s="1"/>
  <c r="B12" i="39"/>
  <c r="J11" i="39"/>
  <c r="J48" i="39" s="1"/>
  <c r="J85" i="39" s="1"/>
  <c r="L11" i="39"/>
  <c r="L48" i="39" s="1"/>
  <c r="L85" i="39" s="1"/>
  <c r="K11" i="39"/>
  <c r="K48" i="39" s="1"/>
  <c r="K85" i="39" s="1"/>
  <c r="H40" i="39"/>
  <c r="H77" i="39" s="1"/>
  <c r="K3" i="39"/>
  <c r="H36" i="39"/>
  <c r="H73" i="39" s="1"/>
  <c r="H110" i="39" s="1"/>
  <c r="F3" i="53"/>
  <c r="E39" i="53"/>
  <c r="D6" i="48"/>
  <c r="I42" i="39"/>
  <c r="I79" i="39" s="1"/>
  <c r="L5" i="39"/>
  <c r="L42" i="39" s="1"/>
  <c r="L79" i="39" s="1"/>
  <c r="G66" i="47"/>
  <c r="F40" i="56"/>
  <c r="G4" i="56"/>
  <c r="G40" i="56" s="1"/>
  <c r="A42" i="55"/>
  <c r="A7" i="55"/>
  <c r="D8" i="72"/>
  <c r="K8" i="72" s="1"/>
  <c r="S57" i="47"/>
  <c r="A43" i="63"/>
  <c r="A8" i="63"/>
  <c r="A43" i="27"/>
  <c r="A8" i="27"/>
  <c r="C41" i="56"/>
  <c r="F5" i="56"/>
  <c r="P25" i="47"/>
  <c r="P55" i="47" s="1"/>
  <c r="A8" i="69"/>
  <c r="A43" i="69"/>
  <c r="F10" i="59"/>
  <c r="F57" i="59"/>
  <c r="A43" i="70"/>
  <c r="A8" i="70"/>
  <c r="E40" i="53"/>
  <c r="F4" i="53"/>
  <c r="H41" i="39"/>
  <c r="H78" i="39" s="1"/>
  <c r="K4" i="39"/>
  <c r="K41" i="39" s="1"/>
  <c r="K78" i="39" s="1"/>
  <c r="G21" i="52"/>
  <c r="D22" i="52"/>
  <c r="A42" i="31"/>
  <c r="A7" i="31"/>
  <c r="C9" i="72"/>
  <c r="J6" i="48"/>
  <c r="E6" i="53" l="1"/>
  <c r="C42" i="53"/>
  <c r="B8" i="70"/>
  <c r="B43" i="70"/>
  <c r="D6" i="54"/>
  <c r="G6" i="54"/>
  <c r="E6" i="60" s="1"/>
  <c r="E41" i="60" s="1"/>
  <c r="F6" i="54"/>
  <c r="E6" i="54"/>
  <c r="G10" i="66"/>
  <c r="F10" i="66"/>
  <c r="J10" i="66" s="1"/>
  <c r="U25" i="47"/>
  <c r="U55" i="47" s="1"/>
  <c r="Q55" i="47"/>
  <c r="I9" i="72"/>
  <c r="J9" i="72"/>
  <c r="P9" i="72" s="1"/>
  <c r="Q9" i="72" s="1"/>
  <c r="F40" i="53"/>
  <c r="C4" i="55"/>
  <c r="C3" i="55"/>
  <c r="F39" i="53"/>
  <c r="B10" i="56"/>
  <c r="B45" i="56"/>
  <c r="C42" i="56"/>
  <c r="F6" i="56"/>
  <c r="E34" i="47"/>
  <c r="C64" i="47"/>
  <c r="B44" i="61"/>
  <c r="B9" i="61"/>
  <c r="C3" i="69"/>
  <c r="D4" i="67"/>
  <c r="C4" i="26"/>
  <c r="M16" i="59"/>
  <c r="M61" i="59"/>
  <c r="C3" i="70"/>
  <c r="C11" i="66"/>
  <c r="A12" i="66"/>
  <c r="E11" i="66"/>
  <c r="I11" i="66" s="1"/>
  <c r="D11" i="66"/>
  <c r="H11" i="66" s="1"/>
  <c r="A9" i="27"/>
  <c r="A44" i="27"/>
  <c r="I40" i="39"/>
  <c r="I77" i="39" s="1"/>
  <c r="L3" i="39"/>
  <c r="I36" i="39"/>
  <c r="I73" i="39" s="1"/>
  <c r="I110" i="39" s="1"/>
  <c r="F35" i="47"/>
  <c r="F65" i="47" s="1"/>
  <c r="E69" i="47"/>
  <c r="F39" i="47"/>
  <c r="F69" i="47" s="1"/>
  <c r="F37" i="47"/>
  <c r="F67" i="47" s="1"/>
  <c r="F38" i="47"/>
  <c r="F68" i="47" s="1"/>
  <c r="F36" i="47"/>
  <c r="F66" i="47" s="1"/>
  <c r="C38" i="70"/>
  <c r="D2" i="70"/>
  <c r="F39" i="60"/>
  <c r="G4" i="60"/>
  <c r="C7" i="56"/>
  <c r="C7" i="53"/>
  <c r="C7" i="54"/>
  <c r="F41" i="56"/>
  <c r="G5" i="56"/>
  <c r="G41" i="56" s="1"/>
  <c r="B10" i="31"/>
  <c r="B45" i="31"/>
  <c r="D3" i="26"/>
  <c r="C39" i="26"/>
  <c r="F2" i="55"/>
  <c r="F38" i="55" s="1"/>
  <c r="E38" i="55"/>
  <c r="A9" i="70"/>
  <c r="A44" i="70"/>
  <c r="K40" i="39"/>
  <c r="K77" i="39" s="1"/>
  <c r="B11" i="26"/>
  <c r="B46" i="26"/>
  <c r="B49" i="71"/>
  <c r="B15" i="71"/>
  <c r="I8" i="72"/>
  <c r="J8" i="72"/>
  <c r="P8" i="72" s="1"/>
  <c r="Q8" i="72" s="1"/>
  <c r="N6" i="48"/>
  <c r="B8" i="69"/>
  <c r="B43" i="69"/>
  <c r="F9" i="59"/>
  <c r="F56" i="59"/>
  <c r="U27" i="47"/>
  <c r="U57" i="47" s="1"/>
  <c r="Q57" i="47"/>
  <c r="C54" i="47"/>
  <c r="Q24" i="47"/>
  <c r="C28" i="47"/>
  <c r="D24" i="47" s="1"/>
  <c r="D54" i="47" s="1"/>
  <c r="B8" i="37"/>
  <c r="B42" i="37"/>
  <c r="F5" i="53"/>
  <c r="E41" i="53"/>
  <c r="A44" i="69"/>
  <c r="A9" i="69"/>
  <c r="B13" i="39"/>
  <c r="J12" i="39"/>
  <c r="J49" i="39" s="1"/>
  <c r="J86" i="39" s="1"/>
  <c r="K12" i="39"/>
  <c r="K49" i="39" s="1"/>
  <c r="K86" i="39" s="1"/>
  <c r="L12" i="39"/>
  <c r="L49" i="39" s="1"/>
  <c r="L86" i="39" s="1"/>
  <c r="A43" i="31"/>
  <c r="A8" i="31"/>
  <c r="A47" i="61"/>
  <c r="A12" i="61"/>
  <c r="A15" i="71"/>
  <c r="A49" i="71"/>
  <c r="G22" i="52"/>
  <c r="D23" i="52"/>
  <c r="A46" i="26"/>
  <c r="A11" i="26"/>
  <c r="I41" i="39"/>
  <c r="I78" i="39" s="1"/>
  <c r="L4" i="39"/>
  <c r="L41" i="39" s="1"/>
  <c r="L78" i="39" s="1"/>
  <c r="B9" i="27"/>
  <c r="B44" i="27"/>
  <c r="F25" i="59"/>
  <c r="F70" i="59"/>
  <c r="C40" i="60"/>
  <c r="F5" i="60"/>
  <c r="C38" i="69"/>
  <c r="D2" i="69"/>
  <c r="E21" i="59"/>
  <c r="E66" i="59"/>
  <c r="C56" i="47"/>
  <c r="Q26" i="47"/>
  <c r="D26" i="47"/>
  <c r="D56" i="47" s="1"/>
  <c r="A46" i="56"/>
  <c r="A11" i="56"/>
  <c r="I7" i="72"/>
  <c r="J7" i="72"/>
  <c r="S7" i="72"/>
  <c r="B45" i="63"/>
  <c r="B10" i="63"/>
  <c r="A42" i="37"/>
  <c r="A8" i="37"/>
  <c r="B10" i="55"/>
  <c r="B45" i="55"/>
  <c r="S24" i="47"/>
  <c r="E54" i="47"/>
  <c r="E28" i="47"/>
  <c r="F24" i="47"/>
  <c r="F54" i="47" s="1"/>
  <c r="A9" i="63"/>
  <c r="A44" i="63"/>
  <c r="A8" i="55"/>
  <c r="A43" i="55"/>
  <c r="G39" i="56"/>
  <c r="J40" i="39"/>
  <c r="J77" i="39" s="1"/>
  <c r="F10" i="52"/>
  <c r="H10" i="52" s="1"/>
  <c r="C11" i="52"/>
  <c r="E10" i="52"/>
  <c r="E3" i="67"/>
  <c r="D39" i="67"/>
  <c r="K40" i="72"/>
  <c r="U26" i="47" l="1"/>
  <c r="U56" i="47" s="1"/>
  <c r="Q56" i="47"/>
  <c r="A13" i="61"/>
  <c r="A48" i="61"/>
  <c r="C40" i="26"/>
  <c r="D4" i="26"/>
  <c r="F28" i="47"/>
  <c r="F58" i="47" s="1"/>
  <c r="F25" i="47"/>
  <c r="F55" i="47" s="1"/>
  <c r="F26" i="47"/>
  <c r="F56" i="47" s="1"/>
  <c r="E58" i="47"/>
  <c r="A44" i="31"/>
  <c r="A9" i="31"/>
  <c r="B46" i="31"/>
  <c r="B11" i="31"/>
  <c r="D3" i="69"/>
  <c r="C39" i="69"/>
  <c r="B11" i="56"/>
  <c r="B46" i="56"/>
  <c r="C6" i="60"/>
  <c r="C8" i="56"/>
  <c r="C8" i="54"/>
  <c r="C8" i="53"/>
  <c r="A9" i="55"/>
  <c r="A44" i="55"/>
  <c r="S54" i="47"/>
  <c r="S28" i="47"/>
  <c r="T24" i="47"/>
  <c r="T54" i="47" s="1"/>
  <c r="P7" i="72"/>
  <c r="J40" i="72"/>
  <c r="E22" i="59"/>
  <c r="E67" i="59"/>
  <c r="C5" i="55"/>
  <c r="F41" i="53"/>
  <c r="A10" i="70"/>
  <c r="A45" i="70"/>
  <c r="D38" i="70"/>
  <c r="E2" i="70"/>
  <c r="C12" i="66"/>
  <c r="A13" i="66"/>
  <c r="D12" i="66"/>
  <c r="H12" i="66" s="1"/>
  <c r="E12" i="66"/>
  <c r="I12" i="66" s="1"/>
  <c r="B10" i="61"/>
  <c r="B45" i="61"/>
  <c r="A10" i="69"/>
  <c r="A45" i="69"/>
  <c r="G39" i="60"/>
  <c r="A10" i="27"/>
  <c r="A45" i="27"/>
  <c r="D40" i="67"/>
  <c r="E4" i="67"/>
  <c r="D38" i="69"/>
  <c r="E2" i="69"/>
  <c r="F2" i="69"/>
  <c r="B10" i="27"/>
  <c r="B45" i="27"/>
  <c r="D24" i="52"/>
  <c r="G23" i="52"/>
  <c r="B46" i="55"/>
  <c r="B11" i="55"/>
  <c r="A47" i="56"/>
  <c r="A12" i="56"/>
  <c r="B43" i="37"/>
  <c r="B9" i="37"/>
  <c r="G7" i="54"/>
  <c r="E7" i="60" s="1"/>
  <c r="E7" i="54"/>
  <c r="D7" i="60" s="1"/>
  <c r="D42" i="60" s="1"/>
  <c r="F7" i="54"/>
  <c r="D7" i="54"/>
  <c r="C7" i="60" s="1"/>
  <c r="L40" i="39"/>
  <c r="L77" i="39" s="1"/>
  <c r="C39" i="70"/>
  <c r="D3" i="70"/>
  <c r="C39" i="55"/>
  <c r="E3" i="55"/>
  <c r="F3" i="67"/>
  <c r="G3" i="67"/>
  <c r="E39" i="67"/>
  <c r="B11" i="63"/>
  <c r="B46" i="63"/>
  <c r="B9" i="69"/>
  <c r="B44" i="69"/>
  <c r="B50" i="71"/>
  <c r="B16" i="71"/>
  <c r="F11" i="66"/>
  <c r="J11" i="66" s="1"/>
  <c r="G11" i="66"/>
  <c r="B9" i="70"/>
  <c r="B44" i="70"/>
  <c r="A43" i="37"/>
  <c r="A9" i="37"/>
  <c r="D28" i="47"/>
  <c r="D58" i="47" s="1"/>
  <c r="C58" i="47"/>
  <c r="D25" i="47"/>
  <c r="D55" i="47" s="1"/>
  <c r="D27" i="47"/>
  <c r="D57" i="47" s="1"/>
  <c r="F55" i="59"/>
  <c r="F8" i="59"/>
  <c r="C43" i="53"/>
  <c r="E7" i="53"/>
  <c r="F34" i="47"/>
  <c r="E64" i="47"/>
  <c r="G34" i="47"/>
  <c r="C40" i="55"/>
  <c r="E4" i="55"/>
  <c r="F6" i="53"/>
  <c r="E42" i="53"/>
  <c r="Q54" i="47"/>
  <c r="U24" i="47"/>
  <c r="Q28" i="47"/>
  <c r="R24" i="47" s="1"/>
  <c r="R54" i="47" s="1"/>
  <c r="F71" i="59"/>
  <c r="F26" i="59"/>
  <c r="E11" i="52"/>
  <c r="C12" i="52"/>
  <c r="F11" i="52"/>
  <c r="H11" i="52" s="1"/>
  <c r="A45" i="63"/>
  <c r="A10" i="63"/>
  <c r="F40" i="60"/>
  <c r="G5" i="60"/>
  <c r="G40" i="60" s="1"/>
  <c r="A12" i="26"/>
  <c r="A47" i="26"/>
  <c r="A16" i="71"/>
  <c r="A50" i="71"/>
  <c r="B14" i="39"/>
  <c r="K13" i="39"/>
  <c r="L13" i="39"/>
  <c r="L50" i="39" s="1"/>
  <c r="L87" i="39" s="1"/>
  <c r="J13" i="39"/>
  <c r="B47" i="26"/>
  <c r="B12" i="26"/>
  <c r="C3" i="61"/>
  <c r="E3" i="26"/>
  <c r="D39" i="26"/>
  <c r="F3" i="26"/>
  <c r="C43" i="56"/>
  <c r="F7" i="56"/>
  <c r="C4" i="70"/>
  <c r="C4" i="69"/>
  <c r="C5" i="26"/>
  <c r="M17" i="59"/>
  <c r="M62" i="59"/>
  <c r="D5" i="67"/>
  <c r="G6" i="56"/>
  <c r="F42" i="56"/>
  <c r="D6" i="60"/>
  <c r="R26" i="47" l="1"/>
  <c r="R56" i="47" s="1"/>
  <c r="D4" i="69"/>
  <c r="E4" i="69"/>
  <c r="E40" i="69" s="1"/>
  <c r="C40" i="69"/>
  <c r="D40" i="26"/>
  <c r="C4" i="61"/>
  <c r="E4" i="26"/>
  <c r="F4" i="26"/>
  <c r="B48" i="26"/>
  <c r="B13" i="26"/>
  <c r="C9" i="56"/>
  <c r="C9" i="54"/>
  <c r="C9" i="53"/>
  <c r="E43" i="53"/>
  <c r="F7" i="53"/>
  <c r="B51" i="71"/>
  <c r="B17" i="71"/>
  <c r="Q7" i="72"/>
  <c r="Q40" i="72" s="1"/>
  <c r="P40" i="72"/>
  <c r="F43" i="56"/>
  <c r="G7" i="56"/>
  <c r="G43" i="56" s="1"/>
  <c r="A13" i="26"/>
  <c r="A48" i="26"/>
  <c r="F27" i="59"/>
  <c r="F72" i="59"/>
  <c r="C6" i="55"/>
  <c r="F42" i="53"/>
  <c r="A44" i="37"/>
  <c r="A10" i="37"/>
  <c r="F39" i="67"/>
  <c r="C42" i="60"/>
  <c r="F7" i="60"/>
  <c r="A48" i="56"/>
  <c r="A13" i="56"/>
  <c r="G2" i="69"/>
  <c r="F38" i="69"/>
  <c r="A11" i="27"/>
  <c r="A46" i="27"/>
  <c r="A10" i="31"/>
  <c r="A45" i="31"/>
  <c r="G42" i="56"/>
  <c r="J50" i="39"/>
  <c r="J87" i="39" s="1"/>
  <c r="E40" i="55"/>
  <c r="F4" i="55"/>
  <c r="F40" i="55" s="1"/>
  <c r="A46" i="70"/>
  <c r="A11" i="70"/>
  <c r="S58" i="47"/>
  <c r="T28" i="47"/>
  <c r="T58" i="47" s="1"/>
  <c r="T27" i="47"/>
  <c r="T57" i="47" s="1"/>
  <c r="T26" i="47"/>
  <c r="T56" i="47" s="1"/>
  <c r="T25" i="47"/>
  <c r="T55" i="47" s="1"/>
  <c r="F6" i="60"/>
  <c r="C41" i="60"/>
  <c r="A49" i="61"/>
  <c r="A14" i="61"/>
  <c r="A17" i="71"/>
  <c r="A51" i="71"/>
  <c r="D41" i="60"/>
  <c r="H3" i="67"/>
  <c r="G39" i="67"/>
  <c r="B11" i="27"/>
  <c r="B46" i="27"/>
  <c r="B46" i="61"/>
  <c r="B11" i="61"/>
  <c r="C44" i="56"/>
  <c r="F8" i="56"/>
  <c r="F5" i="67"/>
  <c r="F41" i="67" s="1"/>
  <c r="D41" i="67"/>
  <c r="E5" i="67"/>
  <c r="F39" i="26"/>
  <c r="C2" i="65"/>
  <c r="G3" i="26"/>
  <c r="H3" i="26"/>
  <c r="C13" i="66"/>
  <c r="D13" i="66"/>
  <c r="H13" i="66" s="1"/>
  <c r="A14" i="66"/>
  <c r="E13" i="66"/>
  <c r="I13" i="66" s="1"/>
  <c r="K50" i="39"/>
  <c r="K87" i="39" s="1"/>
  <c r="A11" i="63"/>
  <c r="A46" i="63"/>
  <c r="G39" i="47"/>
  <c r="H34" i="47" s="1"/>
  <c r="H64" i="47" s="1"/>
  <c r="G64" i="47"/>
  <c r="E42" i="60"/>
  <c r="F12" i="66"/>
  <c r="J12" i="66" s="1"/>
  <c r="G12" i="66"/>
  <c r="C41" i="55"/>
  <c r="E5" i="55"/>
  <c r="B47" i="56"/>
  <c r="B12" i="56"/>
  <c r="E8" i="54"/>
  <c r="G8" i="54"/>
  <c r="E8" i="60" s="1"/>
  <c r="E43" i="60" s="1"/>
  <c r="D8" i="54"/>
  <c r="C8" i="60" s="1"/>
  <c r="F8" i="54"/>
  <c r="E4" i="70"/>
  <c r="E40" i="70" s="1"/>
  <c r="C40" i="70"/>
  <c r="D4" i="70"/>
  <c r="F7" i="59"/>
  <c r="F54" i="59"/>
  <c r="B45" i="69"/>
  <c r="B10" i="69"/>
  <c r="F3" i="55"/>
  <c r="E39" i="55"/>
  <c r="B12" i="55"/>
  <c r="B47" i="55"/>
  <c r="E38" i="69"/>
  <c r="D6" i="67"/>
  <c r="C5" i="70"/>
  <c r="C6" i="26"/>
  <c r="C5" i="69"/>
  <c r="M18" i="59"/>
  <c r="M63" i="59"/>
  <c r="D3" i="61"/>
  <c r="E39" i="26"/>
  <c r="L14" i="39"/>
  <c r="B15" i="39"/>
  <c r="K14" i="39"/>
  <c r="K51" i="39" s="1"/>
  <c r="K88" i="39" s="1"/>
  <c r="J14" i="39"/>
  <c r="J51" i="39" s="1"/>
  <c r="J88" i="39" s="1"/>
  <c r="Q58" i="47"/>
  <c r="R28" i="47"/>
  <c r="R58" i="47" s="1"/>
  <c r="R25" i="47"/>
  <c r="R55" i="47" s="1"/>
  <c r="R27" i="47"/>
  <c r="R57" i="47" s="1"/>
  <c r="B10" i="70"/>
  <c r="B45" i="70"/>
  <c r="B12" i="63"/>
  <c r="B47" i="63"/>
  <c r="E3" i="70"/>
  <c r="E39" i="70" s="1"/>
  <c r="D39" i="70"/>
  <c r="F3" i="70"/>
  <c r="B10" i="37"/>
  <c r="B44" i="37"/>
  <c r="A11" i="69"/>
  <c r="A46" i="69"/>
  <c r="A10" i="55"/>
  <c r="A45" i="55"/>
  <c r="C13" i="52"/>
  <c r="F12" i="52"/>
  <c r="H12" i="52" s="1"/>
  <c r="E12" i="52"/>
  <c r="E38" i="70"/>
  <c r="B47" i="31"/>
  <c r="B12" i="31"/>
  <c r="E5" i="26"/>
  <c r="C41" i="26"/>
  <c r="D5" i="26"/>
  <c r="C39" i="61"/>
  <c r="G3" i="61"/>
  <c r="U54" i="47"/>
  <c r="U28" i="47"/>
  <c r="U58" i="47" s="1"/>
  <c r="F64" i="47"/>
  <c r="I42" i="47"/>
  <c r="G24" i="52"/>
  <c r="D25" i="52"/>
  <c r="F4" i="67"/>
  <c r="F40" i="67" s="1"/>
  <c r="E40" i="67"/>
  <c r="G4" i="67"/>
  <c r="F2" i="70"/>
  <c r="E23" i="59"/>
  <c r="E68" i="59"/>
  <c r="C44" i="53"/>
  <c r="E8" i="53"/>
  <c r="E3" i="69"/>
  <c r="E39" i="69" s="1"/>
  <c r="D39" i="69"/>
  <c r="H4" i="67" l="1"/>
  <c r="H40" i="67" s="1"/>
  <c r="G40" i="67"/>
  <c r="B48" i="31"/>
  <c r="B13" i="31"/>
  <c r="G3" i="70"/>
  <c r="F39" i="70"/>
  <c r="H3" i="70"/>
  <c r="H39" i="70" s="1"/>
  <c r="G38" i="69"/>
  <c r="D4" i="61"/>
  <c r="E40" i="26"/>
  <c r="G39" i="61"/>
  <c r="A47" i="63"/>
  <c r="A12" i="63"/>
  <c r="H39" i="67"/>
  <c r="E44" i="53"/>
  <c r="F8" i="53"/>
  <c r="F8" i="60"/>
  <c r="C43" i="60"/>
  <c r="G39" i="26"/>
  <c r="H2" i="65"/>
  <c r="H38" i="65" s="1"/>
  <c r="G6" i="60"/>
  <c r="F41" i="60"/>
  <c r="A11" i="31"/>
  <c r="A46" i="31"/>
  <c r="C42" i="55"/>
  <c r="E6" i="55"/>
  <c r="C45" i="53"/>
  <c r="E9" i="53"/>
  <c r="D26" i="52"/>
  <c r="G25" i="52"/>
  <c r="A12" i="69"/>
  <c r="A47" i="69"/>
  <c r="C6" i="70"/>
  <c r="C6" i="69"/>
  <c r="C7" i="26"/>
  <c r="D7" i="67"/>
  <c r="M64" i="59"/>
  <c r="M19" i="59"/>
  <c r="B48" i="55"/>
  <c r="B13" i="55"/>
  <c r="F53" i="59"/>
  <c r="F6" i="59"/>
  <c r="B12" i="61"/>
  <c r="B47" i="61"/>
  <c r="F42" i="60"/>
  <c r="G7" i="60"/>
  <c r="G42" i="60" s="1"/>
  <c r="F9" i="54"/>
  <c r="D9" i="54"/>
  <c r="C9" i="60" s="1"/>
  <c r="E9" i="54"/>
  <c r="D9" i="60" s="1"/>
  <c r="D44" i="60" s="1"/>
  <c r="G9" i="54"/>
  <c r="E9" i="60" s="1"/>
  <c r="E44" i="60" s="1"/>
  <c r="G13" i="66"/>
  <c r="F13" i="66"/>
  <c r="J13" i="66" s="1"/>
  <c r="A14" i="56"/>
  <c r="A49" i="56"/>
  <c r="G4" i="61"/>
  <c r="C40" i="61"/>
  <c r="B13" i="63"/>
  <c r="B48" i="63"/>
  <c r="D5" i="69"/>
  <c r="E5" i="69"/>
  <c r="C41" i="69"/>
  <c r="C38" i="65"/>
  <c r="D2" i="65"/>
  <c r="G2" i="65"/>
  <c r="F2" i="65"/>
  <c r="E2" i="65"/>
  <c r="E24" i="59"/>
  <c r="E69" i="59"/>
  <c r="F5" i="26"/>
  <c r="D41" i="26"/>
  <c r="C5" i="61"/>
  <c r="B16" i="39"/>
  <c r="K15" i="39"/>
  <c r="J15" i="39"/>
  <c r="J52" i="39" s="1"/>
  <c r="J89" i="39" s="1"/>
  <c r="L15" i="39"/>
  <c r="L52" i="39" s="1"/>
  <c r="L89" i="39" s="1"/>
  <c r="D6" i="26"/>
  <c r="C42" i="26"/>
  <c r="E6" i="26"/>
  <c r="D40" i="70"/>
  <c r="F4" i="70"/>
  <c r="B13" i="56"/>
  <c r="B48" i="56"/>
  <c r="A52" i="71"/>
  <c r="A18" i="71"/>
  <c r="A47" i="27"/>
  <c r="A12" i="27"/>
  <c r="B18" i="71"/>
  <c r="B52" i="71"/>
  <c r="B14" i="26"/>
  <c r="B49" i="26"/>
  <c r="D40" i="69"/>
  <c r="F4" i="69"/>
  <c r="A47" i="70"/>
  <c r="A12" i="70"/>
  <c r="H39" i="26"/>
  <c r="C3" i="63"/>
  <c r="C2" i="37"/>
  <c r="C8" i="71"/>
  <c r="C43" i="71" s="1"/>
  <c r="C2" i="27"/>
  <c r="C10" i="56"/>
  <c r="C10" i="54"/>
  <c r="C10" i="53"/>
  <c r="D8" i="60"/>
  <c r="F28" i="59"/>
  <c r="F73" i="59"/>
  <c r="C45" i="56"/>
  <c r="F9" i="56"/>
  <c r="F38" i="70"/>
  <c r="G2" i="70"/>
  <c r="H2" i="70"/>
  <c r="E13" i="52"/>
  <c r="F13" i="52"/>
  <c r="H13" i="52" s="1"/>
  <c r="C14" i="52"/>
  <c r="B46" i="70"/>
  <c r="B11" i="70"/>
  <c r="L51" i="39"/>
  <c r="L88" i="39" s="1"/>
  <c r="C41" i="70"/>
  <c r="D5" i="70"/>
  <c r="E5" i="70"/>
  <c r="E41" i="70" s="1"/>
  <c r="F39" i="55"/>
  <c r="E14" i="66"/>
  <c r="I14" i="66" s="1"/>
  <c r="D14" i="66"/>
  <c r="H14" i="66" s="1"/>
  <c r="A15" i="66"/>
  <c r="C14" i="66"/>
  <c r="E41" i="67"/>
  <c r="G5" i="67"/>
  <c r="B47" i="27"/>
  <c r="B12" i="27"/>
  <c r="A15" i="61"/>
  <c r="A50" i="61"/>
  <c r="A14" i="26"/>
  <c r="A49" i="26"/>
  <c r="A11" i="55"/>
  <c r="A46" i="55"/>
  <c r="F43" i="53"/>
  <c r="C7" i="55"/>
  <c r="H3" i="61"/>
  <c r="D39" i="61"/>
  <c r="G8" i="56"/>
  <c r="G44" i="56" s="1"/>
  <c r="F44" i="56"/>
  <c r="F3" i="69"/>
  <c r="D5" i="61"/>
  <c r="G5" i="26"/>
  <c r="E41" i="26"/>
  <c r="B45" i="37"/>
  <c r="B11" i="37"/>
  <c r="E6" i="67"/>
  <c r="D42" i="67"/>
  <c r="F6" i="67"/>
  <c r="F42" i="67" s="1"/>
  <c r="B11" i="69"/>
  <c r="B46" i="69"/>
  <c r="F5" i="55"/>
  <c r="F41" i="55" s="1"/>
  <c r="E41" i="55"/>
  <c r="G69" i="47"/>
  <c r="H38" i="47"/>
  <c r="H68" i="47" s="1"/>
  <c r="H39" i="47"/>
  <c r="H37" i="47"/>
  <c r="H67" i="47" s="1"/>
  <c r="H36" i="47"/>
  <c r="H66" i="47" s="1"/>
  <c r="H35" i="47"/>
  <c r="H65" i="47" s="1"/>
  <c r="A11" i="37"/>
  <c r="A45" i="37"/>
  <c r="F40" i="26"/>
  <c r="G4" i="26"/>
  <c r="C3" i="65"/>
  <c r="B12" i="37" l="1"/>
  <c r="B46" i="37"/>
  <c r="K52" i="39"/>
  <c r="K89" i="39" s="1"/>
  <c r="A12" i="31"/>
  <c r="A47" i="31"/>
  <c r="A13" i="27"/>
  <c r="A48" i="27"/>
  <c r="F38" i="65"/>
  <c r="K2" i="65"/>
  <c r="K38" i="65" s="1"/>
  <c r="E7" i="26"/>
  <c r="D7" i="26"/>
  <c r="C43" i="26"/>
  <c r="H38" i="70"/>
  <c r="C44" i="60"/>
  <c r="F9" i="60"/>
  <c r="F5" i="59"/>
  <c r="F52" i="59"/>
  <c r="E45" i="53"/>
  <c r="F9" i="53"/>
  <c r="B49" i="31"/>
  <c r="B14" i="31"/>
  <c r="B47" i="69"/>
  <c r="B12" i="69"/>
  <c r="G41" i="26"/>
  <c r="H4" i="65"/>
  <c r="H39" i="61"/>
  <c r="C15" i="66"/>
  <c r="A16" i="66"/>
  <c r="E15" i="66"/>
  <c r="I15" i="66" s="1"/>
  <c r="D15" i="66"/>
  <c r="H15" i="66" s="1"/>
  <c r="G38" i="70"/>
  <c r="I2" i="70"/>
  <c r="E2" i="37"/>
  <c r="C37" i="37"/>
  <c r="D6" i="61"/>
  <c r="E42" i="26"/>
  <c r="G6" i="26"/>
  <c r="C41" i="61"/>
  <c r="G5" i="61"/>
  <c r="I2" i="65"/>
  <c r="I38" i="65" s="1"/>
  <c r="M2" i="65"/>
  <c r="M38" i="65" s="1"/>
  <c r="D38" i="65"/>
  <c r="G40" i="61"/>
  <c r="I4" i="61"/>
  <c r="C42" i="70"/>
  <c r="D6" i="70"/>
  <c r="E6" i="70"/>
  <c r="E42" i="70" s="1"/>
  <c r="G41" i="60"/>
  <c r="H4" i="61"/>
  <c r="H40" i="61" s="1"/>
  <c r="D40" i="61"/>
  <c r="A12" i="37"/>
  <c r="A46" i="37"/>
  <c r="A48" i="70"/>
  <c r="A13" i="70"/>
  <c r="B49" i="56"/>
  <c r="B14" i="56"/>
  <c r="F7" i="67"/>
  <c r="E7" i="67"/>
  <c r="D43" i="67"/>
  <c r="G8" i="60"/>
  <c r="G43" i="60" s="1"/>
  <c r="F43" i="60"/>
  <c r="C11" i="56"/>
  <c r="C11" i="54"/>
  <c r="C11" i="53"/>
  <c r="B17" i="39"/>
  <c r="J16" i="39"/>
  <c r="K16" i="39"/>
  <c r="K53" i="39" s="1"/>
  <c r="K90" i="39" s="1"/>
  <c r="L16" i="39"/>
  <c r="I3" i="70"/>
  <c r="G39" i="70"/>
  <c r="A50" i="26"/>
  <c r="A15" i="26"/>
  <c r="H4" i="26"/>
  <c r="E3" i="63"/>
  <c r="C39" i="63"/>
  <c r="I43" i="47"/>
  <c r="H69" i="47"/>
  <c r="B13" i="27"/>
  <c r="B48" i="27"/>
  <c r="B12" i="70"/>
  <c r="B47" i="70"/>
  <c r="E10" i="53"/>
  <c r="C46" i="53"/>
  <c r="B15" i="26"/>
  <c r="B50" i="26"/>
  <c r="D42" i="26"/>
  <c r="C6" i="61"/>
  <c r="F6" i="26"/>
  <c r="F41" i="26"/>
  <c r="H5" i="26"/>
  <c r="C4" i="65"/>
  <c r="A50" i="56"/>
  <c r="A15" i="56"/>
  <c r="A48" i="69"/>
  <c r="A13" i="69"/>
  <c r="E42" i="55"/>
  <c r="F6" i="55"/>
  <c r="F42" i="55" s="1"/>
  <c r="A13" i="63"/>
  <c r="A48" i="63"/>
  <c r="G41" i="67"/>
  <c r="H5" i="67"/>
  <c r="D27" i="52"/>
  <c r="G26" i="52"/>
  <c r="C8" i="55"/>
  <c r="F44" i="53"/>
  <c r="F40" i="69"/>
  <c r="G4" i="69"/>
  <c r="G40" i="69" s="1"/>
  <c r="D41" i="61"/>
  <c r="H5" i="61"/>
  <c r="H41" i="61" s="1"/>
  <c r="A51" i="61"/>
  <c r="A16" i="61"/>
  <c r="D43" i="60"/>
  <c r="G6" i="67"/>
  <c r="E42" i="67"/>
  <c r="F39" i="69"/>
  <c r="G3" i="69"/>
  <c r="G9" i="56"/>
  <c r="G45" i="56" s="1"/>
  <c r="F45" i="56"/>
  <c r="E10" i="54"/>
  <c r="D10" i="60" s="1"/>
  <c r="D45" i="60" s="1"/>
  <c r="D10" i="54"/>
  <c r="C10" i="60" s="1"/>
  <c r="F10" i="54"/>
  <c r="G10" i="54"/>
  <c r="E10" i="60" s="1"/>
  <c r="E45" i="60" s="1"/>
  <c r="E41" i="69"/>
  <c r="D8" i="67"/>
  <c r="C8" i="26"/>
  <c r="C7" i="69"/>
  <c r="C7" i="70"/>
  <c r="M20" i="59"/>
  <c r="M65" i="59"/>
  <c r="J2" i="65"/>
  <c r="J38" i="65" s="1"/>
  <c r="E38" i="65"/>
  <c r="B48" i="61"/>
  <c r="B13" i="61"/>
  <c r="F3" i="65"/>
  <c r="G3" i="65"/>
  <c r="C39" i="65"/>
  <c r="E3" i="65"/>
  <c r="D3" i="65"/>
  <c r="D41" i="70"/>
  <c r="F5" i="70"/>
  <c r="C38" i="27"/>
  <c r="E2" i="27"/>
  <c r="G4" i="70"/>
  <c r="F40" i="70"/>
  <c r="H4" i="70"/>
  <c r="H40" i="70" s="1"/>
  <c r="B49" i="63"/>
  <c r="B14" i="63"/>
  <c r="G40" i="26"/>
  <c r="H3" i="65"/>
  <c r="G14" i="66"/>
  <c r="F14" i="66"/>
  <c r="J14" i="66" s="1"/>
  <c r="F74" i="59"/>
  <c r="F29" i="59"/>
  <c r="L2" i="65"/>
  <c r="L38" i="65" s="1"/>
  <c r="G38" i="65"/>
  <c r="C42" i="69"/>
  <c r="E6" i="69"/>
  <c r="E42" i="69" s="1"/>
  <c r="D6" i="69"/>
  <c r="C43" i="55"/>
  <c r="E7" i="55"/>
  <c r="A53" i="71"/>
  <c r="A19" i="71"/>
  <c r="B49" i="55"/>
  <c r="B14" i="55"/>
  <c r="A12" i="55"/>
  <c r="A47" i="55"/>
  <c r="F14" i="52"/>
  <c r="H14" i="52" s="1"/>
  <c r="C15" i="52"/>
  <c r="E14" i="52"/>
  <c r="C46" i="56"/>
  <c r="F10" i="56"/>
  <c r="B19" i="71"/>
  <c r="B53" i="71"/>
  <c r="E70" i="59"/>
  <c r="E25" i="59"/>
  <c r="F5" i="69"/>
  <c r="D41" i="69"/>
  <c r="I3" i="61"/>
  <c r="D7" i="69" l="1"/>
  <c r="E7" i="69"/>
  <c r="E43" i="69" s="1"/>
  <c r="C43" i="69"/>
  <c r="C47" i="56"/>
  <c r="F11" i="56"/>
  <c r="G9" i="60"/>
  <c r="F44" i="60"/>
  <c r="B50" i="31"/>
  <c r="B15" i="31"/>
  <c r="E15" i="52"/>
  <c r="F15" i="52"/>
  <c r="H15" i="52" s="1"/>
  <c r="C16" i="52"/>
  <c r="H39" i="65"/>
  <c r="E8" i="67"/>
  <c r="F8" i="67"/>
  <c r="F44" i="67" s="1"/>
  <c r="D44" i="67"/>
  <c r="A52" i="61"/>
  <c r="A17" i="61"/>
  <c r="F10" i="53"/>
  <c r="E46" i="53"/>
  <c r="L53" i="39"/>
  <c r="L90" i="39" s="1"/>
  <c r="A14" i="70"/>
  <c r="A49" i="70"/>
  <c r="E37" i="37"/>
  <c r="F2" i="37"/>
  <c r="F37" i="37" s="1"/>
  <c r="F15" i="66"/>
  <c r="J15" i="66" s="1"/>
  <c r="G15" i="66"/>
  <c r="B47" i="37"/>
  <c r="B13" i="37"/>
  <c r="E26" i="59"/>
  <c r="E71" i="59"/>
  <c r="A54" i="71"/>
  <c r="A20" i="71"/>
  <c r="P2" i="65"/>
  <c r="P38" i="65" s="1"/>
  <c r="O3" i="65"/>
  <c r="K3" i="65"/>
  <c r="F39" i="65"/>
  <c r="G27" i="52"/>
  <c r="D28" i="52"/>
  <c r="A14" i="69"/>
  <c r="A49" i="69"/>
  <c r="F42" i="26"/>
  <c r="C5" i="65"/>
  <c r="H6" i="26"/>
  <c r="F3" i="63"/>
  <c r="E39" i="63"/>
  <c r="G41" i="61"/>
  <c r="I5" i="61"/>
  <c r="C9" i="55"/>
  <c r="F45" i="53"/>
  <c r="F6" i="69"/>
  <c r="D42" i="69"/>
  <c r="C40" i="65"/>
  <c r="E4" i="65"/>
  <c r="F4" i="65"/>
  <c r="D4" i="65"/>
  <c r="G4" i="65"/>
  <c r="C12" i="56"/>
  <c r="C12" i="53"/>
  <c r="C12" i="54"/>
  <c r="C2" i="31"/>
  <c r="E38" i="27"/>
  <c r="C44" i="26"/>
  <c r="D8" i="26"/>
  <c r="E8" i="26"/>
  <c r="E8" i="55"/>
  <c r="C44" i="55"/>
  <c r="C16" i="66"/>
  <c r="A17" i="66"/>
  <c r="D16" i="66"/>
  <c r="H16" i="66" s="1"/>
  <c r="E16" i="66"/>
  <c r="I16" i="66" s="1"/>
  <c r="B15" i="63"/>
  <c r="B50" i="63"/>
  <c r="H41" i="67"/>
  <c r="C42" i="61"/>
  <c r="G6" i="61"/>
  <c r="H40" i="26"/>
  <c r="C9" i="71"/>
  <c r="C3" i="37"/>
  <c r="C3" i="27"/>
  <c r="C4" i="63"/>
  <c r="I38" i="70"/>
  <c r="J2" i="70"/>
  <c r="A51" i="56"/>
  <c r="A16" i="56"/>
  <c r="A16" i="26"/>
  <c r="A51" i="26"/>
  <c r="B18" i="39"/>
  <c r="K17" i="39"/>
  <c r="K54" i="39" s="1"/>
  <c r="K91" i="39" s="1"/>
  <c r="J17" i="39"/>
  <c r="J54" i="39" s="1"/>
  <c r="J91" i="39" s="1"/>
  <c r="L17" i="39"/>
  <c r="L54" i="39" s="1"/>
  <c r="L91" i="39" s="1"/>
  <c r="A13" i="37"/>
  <c r="A47" i="37"/>
  <c r="L4" i="65"/>
  <c r="L40" i="65" s="1"/>
  <c r="J4" i="65"/>
  <c r="J40" i="65" s="1"/>
  <c r="K4" i="65"/>
  <c r="K40" i="65" s="1"/>
  <c r="H40" i="65"/>
  <c r="I4" i="65"/>
  <c r="I40" i="65" s="1"/>
  <c r="B15" i="55"/>
  <c r="B50" i="55"/>
  <c r="I4" i="70"/>
  <c r="G40" i="70"/>
  <c r="J3" i="70"/>
  <c r="J39" i="70" s="1"/>
  <c r="I39" i="70"/>
  <c r="B15" i="56"/>
  <c r="B50" i="56"/>
  <c r="D42" i="61"/>
  <c r="H6" i="61"/>
  <c r="H42" i="61" s="1"/>
  <c r="C4" i="27"/>
  <c r="C10" i="71"/>
  <c r="H41" i="26"/>
  <c r="C5" i="63"/>
  <c r="C4" i="37"/>
  <c r="O2" i="65"/>
  <c r="O38" i="65" s="1"/>
  <c r="G39" i="65"/>
  <c r="L3" i="65"/>
  <c r="P3" i="65"/>
  <c r="F41" i="70"/>
  <c r="H5" i="70"/>
  <c r="H41" i="70" s="1"/>
  <c r="G5" i="70"/>
  <c r="G39" i="69"/>
  <c r="A13" i="55"/>
  <c r="A48" i="55"/>
  <c r="I3" i="65"/>
  <c r="D39" i="65"/>
  <c r="M21" i="59"/>
  <c r="C8" i="70"/>
  <c r="C8" i="69"/>
  <c r="C9" i="26"/>
  <c r="D9" i="67"/>
  <c r="M66" i="59"/>
  <c r="B49" i="27"/>
  <c r="B14" i="27"/>
  <c r="C47" i="53"/>
  <c r="E11" i="53"/>
  <c r="E43" i="67"/>
  <c r="G7" i="67"/>
  <c r="I40" i="61"/>
  <c r="C3" i="62"/>
  <c r="H5" i="65"/>
  <c r="G42" i="26"/>
  <c r="F51" i="59"/>
  <c r="F4" i="59"/>
  <c r="D43" i="26"/>
  <c r="F7" i="26"/>
  <c r="C7" i="61"/>
  <c r="A13" i="31"/>
  <c r="A48" i="31"/>
  <c r="F41" i="69"/>
  <c r="G5" i="69"/>
  <c r="G41" i="69" s="1"/>
  <c r="B14" i="61"/>
  <c r="B49" i="61"/>
  <c r="B48" i="70"/>
  <c r="B13" i="70"/>
  <c r="J53" i="39"/>
  <c r="J90" i="39" s="1"/>
  <c r="F6" i="70"/>
  <c r="D42" i="70"/>
  <c r="A14" i="27"/>
  <c r="A49" i="27"/>
  <c r="B20" i="71"/>
  <c r="B54" i="71"/>
  <c r="F7" i="55"/>
  <c r="F43" i="55" s="1"/>
  <c r="E43" i="55"/>
  <c r="F75" i="59"/>
  <c r="F30" i="59"/>
  <c r="C2" i="62"/>
  <c r="I39" i="61"/>
  <c r="F46" i="56"/>
  <c r="G10" i="56"/>
  <c r="E39" i="65"/>
  <c r="N3" i="65"/>
  <c r="J3" i="65"/>
  <c r="N2" i="65"/>
  <c r="N38" i="65" s="1"/>
  <c r="D7" i="70"/>
  <c r="C43" i="70"/>
  <c r="E7" i="70"/>
  <c r="C45" i="60"/>
  <c r="F10" i="60"/>
  <c r="G42" i="67"/>
  <c r="H6" i="67"/>
  <c r="H42" i="67" s="1"/>
  <c r="A49" i="63"/>
  <c r="A14" i="63"/>
  <c r="B51" i="26"/>
  <c r="B16" i="26"/>
  <c r="G11" i="54"/>
  <c r="E11" i="60" s="1"/>
  <c r="E46" i="60" s="1"/>
  <c r="F11" i="54"/>
  <c r="D11" i="54"/>
  <c r="C11" i="60" s="1"/>
  <c r="E11" i="54"/>
  <c r="D11" i="60" s="1"/>
  <c r="D46" i="60" s="1"/>
  <c r="F43" i="67"/>
  <c r="B13" i="69"/>
  <c r="B48" i="69"/>
  <c r="D7" i="61"/>
  <c r="E43" i="26"/>
  <c r="G7" i="26"/>
  <c r="H7" i="26" l="1"/>
  <c r="C6" i="65"/>
  <c r="F43" i="26"/>
  <c r="I39" i="65"/>
  <c r="O4" i="65"/>
  <c r="O40" i="65" s="1"/>
  <c r="F40" i="65"/>
  <c r="B49" i="69"/>
  <c r="B14" i="69"/>
  <c r="F42" i="70"/>
  <c r="H6" i="70"/>
  <c r="H42" i="70" s="1"/>
  <c r="G6" i="70"/>
  <c r="C6" i="63"/>
  <c r="C11" i="71"/>
  <c r="H42" i="26"/>
  <c r="C5" i="37"/>
  <c r="C5" i="27"/>
  <c r="E27" i="59"/>
  <c r="E72" i="59"/>
  <c r="A15" i="70"/>
  <c r="A50" i="70"/>
  <c r="F3" i="59"/>
  <c r="F49" i="59" s="1"/>
  <c r="F50" i="59"/>
  <c r="G43" i="67"/>
  <c r="H7" i="67"/>
  <c r="F9" i="67"/>
  <c r="E9" i="67"/>
  <c r="D45" i="67"/>
  <c r="P39" i="65"/>
  <c r="D10" i="71"/>
  <c r="C45" i="71"/>
  <c r="B19" i="39"/>
  <c r="J18" i="39"/>
  <c r="J55" i="39" s="1"/>
  <c r="J92" i="39" s="1"/>
  <c r="K18" i="39"/>
  <c r="K55" i="39" s="1"/>
  <c r="K92" i="39" s="1"/>
  <c r="L18" i="39"/>
  <c r="I6" i="61"/>
  <c r="G42" i="61"/>
  <c r="C17" i="66"/>
  <c r="D17" i="66"/>
  <c r="H17" i="66" s="1"/>
  <c r="A18" i="66"/>
  <c r="E17" i="66"/>
  <c r="I17" i="66" s="1"/>
  <c r="C38" i="31"/>
  <c r="E2" i="31"/>
  <c r="G5" i="65"/>
  <c r="E5" i="65"/>
  <c r="F5" i="65"/>
  <c r="C41" i="65"/>
  <c r="D5" i="65"/>
  <c r="B14" i="37"/>
  <c r="B48" i="37"/>
  <c r="D43" i="69"/>
  <c r="F7" i="69"/>
  <c r="A15" i="63"/>
  <c r="A50" i="63"/>
  <c r="D43" i="70"/>
  <c r="F7" i="70"/>
  <c r="G46" i="56"/>
  <c r="D9" i="26"/>
  <c r="C45" i="26"/>
  <c r="E9" i="26"/>
  <c r="L39" i="65"/>
  <c r="E4" i="27"/>
  <c r="C40" i="27"/>
  <c r="G16" i="66"/>
  <c r="F16" i="66"/>
  <c r="J16" i="66" s="1"/>
  <c r="G12" i="54"/>
  <c r="E12" i="60" s="1"/>
  <c r="E47" i="60" s="1"/>
  <c r="F12" i="54"/>
  <c r="E12" i="54"/>
  <c r="D12" i="60" s="1"/>
  <c r="D47" i="60" s="1"/>
  <c r="D12" i="54"/>
  <c r="C12" i="60" s="1"/>
  <c r="K39" i="65"/>
  <c r="E44" i="67"/>
  <c r="G8" i="67"/>
  <c r="F76" i="59"/>
  <c r="F31" i="59"/>
  <c r="B51" i="56"/>
  <c r="B16" i="56"/>
  <c r="J38" i="70"/>
  <c r="C44" i="71"/>
  <c r="H6" i="65"/>
  <c r="G43" i="26"/>
  <c r="B14" i="70"/>
  <c r="B49" i="70"/>
  <c r="A49" i="55"/>
  <c r="A14" i="55"/>
  <c r="C48" i="53"/>
  <c r="E12" i="53"/>
  <c r="O39" i="65"/>
  <c r="C46" i="60"/>
  <c r="F11" i="60"/>
  <c r="J39" i="65"/>
  <c r="B21" i="71"/>
  <c r="B55" i="71"/>
  <c r="A14" i="31"/>
  <c r="A49" i="31"/>
  <c r="F11" i="53"/>
  <c r="E47" i="53"/>
  <c r="E8" i="70"/>
  <c r="E44" i="70" s="1"/>
  <c r="D8" i="70"/>
  <c r="C44" i="70"/>
  <c r="I40" i="70"/>
  <c r="J4" i="70"/>
  <c r="J40" i="70" s="1"/>
  <c r="A17" i="56"/>
  <c r="A52" i="56"/>
  <c r="E4" i="63"/>
  <c r="C40" i="63"/>
  <c r="F8" i="55"/>
  <c r="E44" i="55"/>
  <c r="C48" i="56"/>
  <c r="F12" i="56"/>
  <c r="G6" i="69"/>
  <c r="G42" i="69" s="1"/>
  <c r="F42" i="69"/>
  <c r="A15" i="69"/>
  <c r="A50" i="69"/>
  <c r="F46" i="53"/>
  <c r="C10" i="55"/>
  <c r="F47" i="56"/>
  <c r="G11" i="56"/>
  <c r="G47" i="56" s="1"/>
  <c r="C41" i="63"/>
  <c r="E5" i="63"/>
  <c r="E43" i="70"/>
  <c r="E40" i="65"/>
  <c r="N4" i="65"/>
  <c r="B16" i="31"/>
  <c r="B51" i="31"/>
  <c r="D43" i="61"/>
  <c r="H7" i="61"/>
  <c r="N39" i="65"/>
  <c r="I5" i="65"/>
  <c r="I41" i="65" s="1"/>
  <c r="H41" i="65"/>
  <c r="J5" i="65"/>
  <c r="J41" i="65" s="1"/>
  <c r="K5" i="65"/>
  <c r="K41" i="65" s="1"/>
  <c r="L5" i="65"/>
  <c r="L41" i="65" s="1"/>
  <c r="D10" i="67"/>
  <c r="C9" i="69"/>
  <c r="C10" i="26"/>
  <c r="C9" i="70"/>
  <c r="M22" i="59"/>
  <c r="M67" i="59"/>
  <c r="A14" i="37"/>
  <c r="A48" i="37"/>
  <c r="C39" i="27"/>
  <c r="E3" i="27"/>
  <c r="D8" i="61"/>
  <c r="E44" i="26"/>
  <c r="G8" i="26"/>
  <c r="P4" i="65"/>
  <c r="G40" i="65"/>
  <c r="D29" i="52"/>
  <c r="G28" i="52"/>
  <c r="A21" i="71"/>
  <c r="A55" i="71"/>
  <c r="C17" i="52"/>
  <c r="E16" i="52"/>
  <c r="F16" i="52"/>
  <c r="H16" i="52" s="1"/>
  <c r="B17" i="26"/>
  <c r="B52" i="26"/>
  <c r="C13" i="54"/>
  <c r="C13" i="53"/>
  <c r="C13" i="56"/>
  <c r="M3" i="65"/>
  <c r="C45" i="55"/>
  <c r="E9" i="55"/>
  <c r="E8" i="69"/>
  <c r="D8" i="69"/>
  <c r="C44" i="69"/>
  <c r="A17" i="26"/>
  <c r="A52" i="26"/>
  <c r="I41" i="61"/>
  <c r="C4" i="62"/>
  <c r="G44" i="60"/>
  <c r="G10" i="60"/>
  <c r="G45" i="60" s="1"/>
  <c r="F45" i="60"/>
  <c r="E2" i="62"/>
  <c r="C38" i="62"/>
  <c r="A15" i="27"/>
  <c r="A50" i="27"/>
  <c r="B15" i="61"/>
  <c r="B50" i="61"/>
  <c r="C43" i="61"/>
  <c r="G7" i="61"/>
  <c r="E3" i="62"/>
  <c r="C39" i="62"/>
  <c r="B15" i="27"/>
  <c r="B50" i="27"/>
  <c r="G41" i="70"/>
  <c r="I5" i="70"/>
  <c r="E4" i="37"/>
  <c r="C39" i="37"/>
  <c r="B51" i="55"/>
  <c r="B16" i="55"/>
  <c r="C38" i="37"/>
  <c r="E3" i="37"/>
  <c r="B16" i="63"/>
  <c r="B51" i="63"/>
  <c r="D44" i="26"/>
  <c r="F8" i="26"/>
  <c r="C8" i="61"/>
  <c r="M4" i="65"/>
  <c r="D40" i="65"/>
  <c r="F39" i="63"/>
  <c r="A18" i="61"/>
  <c r="A53" i="61"/>
  <c r="A15" i="37" l="1"/>
  <c r="A49" i="37"/>
  <c r="E40" i="27"/>
  <c r="C4" i="31"/>
  <c r="G7" i="70"/>
  <c r="H7" i="70"/>
  <c r="H43" i="70" s="1"/>
  <c r="F43" i="70"/>
  <c r="G9" i="67"/>
  <c r="E45" i="67"/>
  <c r="C14" i="53"/>
  <c r="C14" i="56"/>
  <c r="C14" i="54"/>
  <c r="F8" i="70"/>
  <c r="D44" i="70"/>
  <c r="F32" i="59"/>
  <c r="F77" i="59"/>
  <c r="F45" i="67"/>
  <c r="G12" i="56"/>
  <c r="G48" i="56" s="1"/>
  <c r="F48" i="56"/>
  <c r="D41" i="65"/>
  <c r="M5" i="65"/>
  <c r="E18" i="66"/>
  <c r="I18" i="66" s="1"/>
  <c r="C18" i="66"/>
  <c r="D18" i="66"/>
  <c r="H18" i="66" s="1"/>
  <c r="A19" i="66"/>
  <c r="B20" i="39"/>
  <c r="L19" i="39"/>
  <c r="L56" i="39" s="1"/>
  <c r="L93" i="39" s="1"/>
  <c r="J19" i="39"/>
  <c r="J56" i="39" s="1"/>
  <c r="J93" i="39" s="1"/>
  <c r="K19" i="39"/>
  <c r="K56" i="39" s="1"/>
  <c r="K93" i="39" s="1"/>
  <c r="B17" i="63"/>
  <c r="B52" i="63"/>
  <c r="J5" i="70"/>
  <c r="J41" i="70" s="1"/>
  <c r="I41" i="70"/>
  <c r="A18" i="26"/>
  <c r="A53" i="26"/>
  <c r="C49" i="56"/>
  <c r="F13" i="56"/>
  <c r="C45" i="70"/>
  <c r="D9" i="70"/>
  <c r="E9" i="70"/>
  <c r="E45" i="70" s="1"/>
  <c r="A53" i="56"/>
  <c r="A18" i="56"/>
  <c r="F46" i="60"/>
  <c r="G11" i="60"/>
  <c r="G46" i="60" s="1"/>
  <c r="H8" i="67"/>
  <c r="H44" i="67" s="1"/>
  <c r="G44" i="67"/>
  <c r="D9" i="61"/>
  <c r="G9" i="26"/>
  <c r="E45" i="26"/>
  <c r="A51" i="63"/>
  <c r="A16" i="63"/>
  <c r="H43" i="67"/>
  <c r="E28" i="59"/>
  <c r="E73" i="59"/>
  <c r="F6" i="65"/>
  <c r="G6" i="65"/>
  <c r="C42" i="65"/>
  <c r="D6" i="65"/>
  <c r="E6" i="65"/>
  <c r="H8" i="26"/>
  <c r="C7" i="65"/>
  <c r="F44" i="26"/>
  <c r="E4" i="62"/>
  <c r="C40" i="62"/>
  <c r="C47" i="60"/>
  <c r="F12" i="60"/>
  <c r="B49" i="37"/>
  <c r="B15" i="37"/>
  <c r="E48" i="53"/>
  <c r="F12" i="53"/>
  <c r="A51" i="70"/>
  <c r="A16" i="70"/>
  <c r="G43" i="61"/>
  <c r="I7" i="61"/>
  <c r="C49" i="53"/>
  <c r="E13" i="53"/>
  <c r="E10" i="26"/>
  <c r="D10" i="26"/>
  <c r="C46" i="26"/>
  <c r="C46" i="55"/>
  <c r="E10" i="55"/>
  <c r="B15" i="69"/>
  <c r="B50" i="69"/>
  <c r="B16" i="61"/>
  <c r="B51" i="61"/>
  <c r="D44" i="69"/>
  <c r="F8" i="69"/>
  <c r="F13" i="54"/>
  <c r="E13" i="54"/>
  <c r="D13" i="60" s="1"/>
  <c r="D48" i="60" s="1"/>
  <c r="D13" i="54"/>
  <c r="C13" i="60" s="1"/>
  <c r="G13" i="54"/>
  <c r="E13" i="60" s="1"/>
  <c r="E48" i="60" s="1"/>
  <c r="C3" i="31"/>
  <c r="E39" i="27"/>
  <c r="E9" i="69"/>
  <c r="E45" i="69" s="1"/>
  <c r="C45" i="69"/>
  <c r="D9" i="69"/>
  <c r="D45" i="26"/>
  <c r="F9" i="26"/>
  <c r="C9" i="61"/>
  <c r="G7" i="69"/>
  <c r="G43" i="69" s="1"/>
  <c r="F43" i="69"/>
  <c r="E41" i="65"/>
  <c r="N5" i="65"/>
  <c r="C40" i="37"/>
  <c r="E5" i="37"/>
  <c r="E6" i="63"/>
  <c r="C42" i="63"/>
  <c r="G42" i="70"/>
  <c r="I6" i="70"/>
  <c r="F2" i="62"/>
  <c r="F38" i="62" s="1"/>
  <c r="E38" i="62"/>
  <c r="H7" i="65"/>
  <c r="G44" i="26"/>
  <c r="B52" i="31"/>
  <c r="B17" i="31"/>
  <c r="E38" i="37"/>
  <c r="F3" i="37"/>
  <c r="F38" i="37" s="1"/>
  <c r="A22" i="71"/>
  <c r="A56" i="71"/>
  <c r="G17" i="66"/>
  <c r="F17" i="66"/>
  <c r="J17" i="66" s="1"/>
  <c r="C6" i="27"/>
  <c r="H43" i="26"/>
  <c r="C12" i="71"/>
  <c r="C6" i="37"/>
  <c r="C7" i="63"/>
  <c r="C4" i="64"/>
  <c r="M40" i="65"/>
  <c r="B51" i="27"/>
  <c r="B16" i="27"/>
  <c r="E44" i="69"/>
  <c r="G29" i="52"/>
  <c r="D30" i="52"/>
  <c r="D46" i="67"/>
  <c r="F10" i="67"/>
  <c r="F46" i="67" s="1"/>
  <c r="E10" i="67"/>
  <c r="H43" i="61"/>
  <c r="F44" i="55"/>
  <c r="A15" i="31"/>
  <c r="A50" i="31"/>
  <c r="G41" i="65"/>
  <c r="P5" i="65"/>
  <c r="C5" i="62"/>
  <c r="I42" i="61"/>
  <c r="A19" i="61"/>
  <c r="A54" i="61"/>
  <c r="F3" i="62"/>
  <c r="E39" i="62"/>
  <c r="E4" i="64"/>
  <c r="P40" i="65"/>
  <c r="F5" i="63"/>
  <c r="F41" i="63" s="1"/>
  <c r="E41" i="63"/>
  <c r="B56" i="71"/>
  <c r="B22" i="71"/>
  <c r="M39" i="65"/>
  <c r="F4" i="63"/>
  <c r="E40" i="63"/>
  <c r="L6" i="65"/>
  <c r="I6" i="65"/>
  <c r="H42" i="65"/>
  <c r="J6" i="65"/>
  <c r="J42" i="65" s="1"/>
  <c r="K6" i="65"/>
  <c r="K42" i="65" s="1"/>
  <c r="F4" i="37"/>
  <c r="F39" i="37" s="1"/>
  <c r="E39" i="37"/>
  <c r="C18" i="52"/>
  <c r="F17" i="52"/>
  <c r="H17" i="52" s="1"/>
  <c r="E17" i="52"/>
  <c r="C10" i="70"/>
  <c r="C11" i="26"/>
  <c r="D11" i="67"/>
  <c r="M23" i="59"/>
  <c r="M68" i="59"/>
  <c r="C10" i="69"/>
  <c r="H8" i="61"/>
  <c r="H44" i="61" s="1"/>
  <c r="D44" i="61"/>
  <c r="N40" i="65"/>
  <c r="D4" i="64"/>
  <c r="C11" i="55"/>
  <c r="F47" i="53"/>
  <c r="A15" i="55"/>
  <c r="A50" i="55"/>
  <c r="O5" i="65"/>
  <c r="F41" i="65"/>
  <c r="D45" i="71"/>
  <c r="E10" i="71"/>
  <c r="C41" i="27"/>
  <c r="E5" i="27"/>
  <c r="C44" i="61"/>
  <c r="G8" i="61"/>
  <c r="B52" i="55"/>
  <c r="B17" i="55"/>
  <c r="A51" i="27"/>
  <c r="A16" i="27"/>
  <c r="F9" i="55"/>
  <c r="F45" i="55" s="1"/>
  <c r="E45" i="55"/>
  <c r="B18" i="26"/>
  <c r="B53" i="26"/>
  <c r="A16" i="69"/>
  <c r="A51" i="69"/>
  <c r="B15" i="70"/>
  <c r="B50" i="70"/>
  <c r="B17" i="56"/>
  <c r="B52" i="56"/>
  <c r="F2" i="31"/>
  <c r="F38" i="31" s="1"/>
  <c r="E38" i="31"/>
  <c r="L55" i="39"/>
  <c r="L92" i="39" s="1"/>
  <c r="D11" i="71"/>
  <c r="C46" i="71"/>
  <c r="A52" i="69" l="1"/>
  <c r="A17" i="69"/>
  <c r="A23" i="71"/>
  <c r="A57" i="71"/>
  <c r="H8" i="65"/>
  <c r="G45" i="26"/>
  <c r="E4" i="31"/>
  <c r="C40" i="31"/>
  <c r="C46" i="70"/>
  <c r="D10" i="70"/>
  <c r="E10" i="70"/>
  <c r="E46" i="70" s="1"/>
  <c r="C39" i="31"/>
  <c r="E3" i="31"/>
  <c r="F48" i="53"/>
  <c r="C12" i="55"/>
  <c r="D45" i="61"/>
  <c r="H9" i="61"/>
  <c r="H45" i="61" s="1"/>
  <c r="C50" i="53"/>
  <c r="E14" i="53"/>
  <c r="E41" i="27"/>
  <c r="C5" i="31"/>
  <c r="C15" i="56"/>
  <c r="C15" i="54"/>
  <c r="C15" i="53"/>
  <c r="D12" i="71"/>
  <c r="C47" i="71"/>
  <c r="F45" i="26"/>
  <c r="C8" i="65"/>
  <c r="H9" i="26"/>
  <c r="B52" i="61"/>
  <c r="B17" i="61"/>
  <c r="D10" i="61"/>
  <c r="E46" i="26"/>
  <c r="G10" i="26"/>
  <c r="D7" i="65"/>
  <c r="G7" i="65"/>
  <c r="E7" i="65"/>
  <c r="F7" i="65"/>
  <c r="C43" i="65"/>
  <c r="E29" i="59"/>
  <c r="E74" i="59"/>
  <c r="G18" i="66"/>
  <c r="F18" i="66"/>
  <c r="J18" i="66" s="1"/>
  <c r="B16" i="70"/>
  <c r="B51" i="70"/>
  <c r="A16" i="55"/>
  <c r="A51" i="55"/>
  <c r="I42" i="65"/>
  <c r="J6" i="70"/>
  <c r="J42" i="70" s="1"/>
  <c r="I42" i="70"/>
  <c r="D5" i="64"/>
  <c r="D41" i="64" s="1"/>
  <c r="N41" i="65"/>
  <c r="F13" i="53"/>
  <c r="E49" i="53"/>
  <c r="B16" i="37"/>
  <c r="B50" i="37"/>
  <c r="C13" i="71"/>
  <c r="C7" i="37"/>
  <c r="C8" i="63"/>
  <c r="H44" i="26"/>
  <c r="C7" i="27"/>
  <c r="G13" i="56"/>
  <c r="G49" i="56" s="1"/>
  <c r="F49" i="56"/>
  <c r="B53" i="63"/>
  <c r="B18" i="63"/>
  <c r="A50" i="37"/>
  <c r="A16" i="37"/>
  <c r="D11" i="26"/>
  <c r="E11" i="26"/>
  <c r="C47" i="26"/>
  <c r="O6" i="65"/>
  <c r="O42" i="65" s="1"/>
  <c r="F42" i="65"/>
  <c r="E11" i="71"/>
  <c r="E46" i="71" s="1"/>
  <c r="D46" i="71"/>
  <c r="F39" i="62"/>
  <c r="C45" i="61"/>
  <c r="G9" i="61"/>
  <c r="D45" i="70"/>
  <c r="F9" i="70"/>
  <c r="B57" i="71"/>
  <c r="B23" i="71"/>
  <c r="C46" i="69"/>
  <c r="D10" i="69"/>
  <c r="E10" i="69"/>
  <c r="B17" i="27"/>
  <c r="B52" i="27"/>
  <c r="B16" i="69"/>
  <c r="B51" i="69"/>
  <c r="E42" i="65"/>
  <c r="N6" i="65"/>
  <c r="F78" i="59"/>
  <c r="F33" i="59"/>
  <c r="H9" i="67"/>
  <c r="G45" i="67"/>
  <c r="C47" i="55"/>
  <c r="E11" i="55"/>
  <c r="A16" i="31"/>
  <c r="A51" i="31"/>
  <c r="D45" i="69"/>
  <c r="F9" i="69"/>
  <c r="C6" i="62"/>
  <c r="I43" i="61"/>
  <c r="F47" i="60"/>
  <c r="G12" i="60"/>
  <c r="G47" i="60" s="1"/>
  <c r="D42" i="65"/>
  <c r="M6" i="65"/>
  <c r="A17" i="63"/>
  <c r="A52" i="63"/>
  <c r="C5" i="64"/>
  <c r="M41" i="65"/>
  <c r="F11" i="67"/>
  <c r="D47" i="67"/>
  <c r="E11" i="67"/>
  <c r="I8" i="61"/>
  <c r="G44" i="61"/>
  <c r="C43" i="63"/>
  <c r="E7" i="63"/>
  <c r="E40" i="62"/>
  <c r="F4" i="62"/>
  <c r="F40" i="62" s="1"/>
  <c r="C19" i="66"/>
  <c r="A20" i="66"/>
  <c r="E19" i="66"/>
  <c r="I19" i="66" s="1"/>
  <c r="D19" i="66"/>
  <c r="H19" i="66" s="1"/>
  <c r="C50" i="56"/>
  <c r="F14" i="56"/>
  <c r="B18" i="56"/>
  <c r="B53" i="56"/>
  <c r="B19" i="26"/>
  <c r="B54" i="26"/>
  <c r="O41" i="65"/>
  <c r="P41" i="65"/>
  <c r="E5" i="64"/>
  <c r="E41" i="64" s="1"/>
  <c r="C41" i="37"/>
  <c r="E6" i="37"/>
  <c r="D46" i="26"/>
  <c r="F10" i="26"/>
  <c r="C10" i="61"/>
  <c r="A17" i="27"/>
  <c r="A52" i="27"/>
  <c r="C19" i="52"/>
  <c r="F18" i="52"/>
  <c r="H18" i="52" s="1"/>
  <c r="E18" i="52"/>
  <c r="L42" i="65"/>
  <c r="A20" i="61"/>
  <c r="A55" i="61"/>
  <c r="E46" i="67"/>
  <c r="G10" i="67"/>
  <c r="E6" i="27"/>
  <c r="C42" i="27"/>
  <c r="B18" i="31"/>
  <c r="B53" i="31"/>
  <c r="C48" i="60"/>
  <c r="F13" i="60"/>
  <c r="B18" i="55"/>
  <c r="B53" i="55"/>
  <c r="E45" i="71"/>
  <c r="D40" i="64"/>
  <c r="D12" i="67"/>
  <c r="C11" i="69"/>
  <c r="C11" i="70"/>
  <c r="M69" i="59"/>
  <c r="M24" i="59"/>
  <c r="C12" i="26"/>
  <c r="F6" i="63"/>
  <c r="F42" i="63" s="1"/>
  <c r="E42" i="63"/>
  <c r="F10" i="55"/>
  <c r="F46" i="55" s="1"/>
  <c r="E46" i="55"/>
  <c r="A19" i="56"/>
  <c r="A54" i="56"/>
  <c r="A54" i="26"/>
  <c r="A19" i="26"/>
  <c r="F44" i="70"/>
  <c r="H8" i="70"/>
  <c r="G8" i="70"/>
  <c r="F40" i="63"/>
  <c r="E40" i="64"/>
  <c r="E5" i="62"/>
  <c r="C41" i="62"/>
  <c r="G30" i="52"/>
  <c r="D31" i="52"/>
  <c r="F4" i="64"/>
  <c r="C40" i="64"/>
  <c r="I7" i="65"/>
  <c r="I43" i="65" s="1"/>
  <c r="H43" i="65"/>
  <c r="J7" i="65"/>
  <c r="J43" i="65" s="1"/>
  <c r="K7" i="65"/>
  <c r="K43" i="65" s="1"/>
  <c r="L7" i="65"/>
  <c r="L43" i="65" s="1"/>
  <c r="E40" i="37"/>
  <c r="F5" i="37"/>
  <c r="F44" i="69"/>
  <c r="G8" i="69"/>
  <c r="A52" i="70"/>
  <c r="A17" i="70"/>
  <c r="P6" i="65"/>
  <c r="G42" i="65"/>
  <c r="B21" i="39"/>
  <c r="K20" i="39"/>
  <c r="K57" i="39" s="1"/>
  <c r="K94" i="39" s="1"/>
  <c r="J20" i="39"/>
  <c r="J57" i="39" s="1"/>
  <c r="J94" i="39" s="1"/>
  <c r="L20" i="39"/>
  <c r="F14" i="54"/>
  <c r="E14" i="54"/>
  <c r="D14" i="60" s="1"/>
  <c r="D49" i="60" s="1"/>
  <c r="D14" i="54"/>
  <c r="C14" i="60" s="1"/>
  <c r="G14" i="54"/>
  <c r="E14" i="60" s="1"/>
  <c r="E49" i="60" s="1"/>
  <c r="I7" i="70"/>
  <c r="G43" i="70"/>
  <c r="B58" i="71" l="1"/>
  <c r="B24" i="71"/>
  <c r="C44" i="63"/>
  <c r="E8" i="63"/>
  <c r="G44" i="69"/>
  <c r="G44" i="70"/>
  <c r="I8" i="70"/>
  <c r="G13" i="60"/>
  <c r="G48" i="60" s="1"/>
  <c r="F48" i="60"/>
  <c r="A18" i="27"/>
  <c r="A53" i="27"/>
  <c r="F5" i="64"/>
  <c r="C41" i="64"/>
  <c r="E6" i="62"/>
  <c r="C42" i="62"/>
  <c r="B17" i="69"/>
  <c r="B52" i="69"/>
  <c r="C42" i="37"/>
  <c r="E7" i="37"/>
  <c r="A17" i="55"/>
  <c r="A52" i="55"/>
  <c r="D46" i="61"/>
  <c r="H10" i="61"/>
  <c r="D47" i="71"/>
  <c r="E12" i="71"/>
  <c r="E47" i="71" s="1"/>
  <c r="F14" i="53"/>
  <c r="E50" i="53"/>
  <c r="A58" i="71"/>
  <c r="A24" i="71"/>
  <c r="H44" i="70"/>
  <c r="F12" i="67"/>
  <c r="F48" i="67" s="1"/>
  <c r="E12" i="67"/>
  <c r="D48" i="67"/>
  <c r="A56" i="61"/>
  <c r="A21" i="61"/>
  <c r="G10" i="61"/>
  <c r="C46" i="61"/>
  <c r="G9" i="69"/>
  <c r="G45" i="69" s="1"/>
  <c r="F45" i="69"/>
  <c r="H9" i="70"/>
  <c r="H45" i="70" s="1"/>
  <c r="G9" i="70"/>
  <c r="F45" i="70"/>
  <c r="B19" i="63"/>
  <c r="B54" i="63"/>
  <c r="C48" i="71"/>
  <c r="D13" i="71"/>
  <c r="O7" i="65"/>
  <c r="F43" i="65"/>
  <c r="B18" i="61"/>
  <c r="B53" i="61"/>
  <c r="D46" i="70"/>
  <c r="F10" i="70"/>
  <c r="A18" i="69"/>
  <c r="A53" i="69"/>
  <c r="J7" i="70"/>
  <c r="I43" i="70"/>
  <c r="B22" i="39"/>
  <c r="K21" i="39"/>
  <c r="K58" i="39" s="1"/>
  <c r="K95" i="39" s="1"/>
  <c r="J21" i="39"/>
  <c r="J58" i="39" s="1"/>
  <c r="J95" i="39" s="1"/>
  <c r="L21" i="39"/>
  <c r="L58" i="39" s="1"/>
  <c r="L95" i="39" s="1"/>
  <c r="F40" i="37"/>
  <c r="E41" i="62"/>
  <c r="F5" i="62"/>
  <c r="H10" i="26"/>
  <c r="C9" i="65"/>
  <c r="F46" i="26"/>
  <c r="I44" i="61"/>
  <c r="C7" i="62"/>
  <c r="A53" i="63"/>
  <c r="A18" i="63"/>
  <c r="H45" i="67"/>
  <c r="B17" i="70"/>
  <c r="B52" i="70"/>
  <c r="E43" i="65"/>
  <c r="N7" i="65"/>
  <c r="E15" i="53"/>
  <c r="C51" i="53"/>
  <c r="F50" i="56"/>
  <c r="G14" i="56"/>
  <c r="G50" i="56" s="1"/>
  <c r="A20" i="26"/>
  <c r="A55" i="26"/>
  <c r="E47" i="67"/>
  <c r="G11" i="67"/>
  <c r="F34" i="59"/>
  <c r="F79" i="59"/>
  <c r="G45" i="61"/>
  <c r="I9" i="61"/>
  <c r="B51" i="37"/>
  <c r="B17" i="37"/>
  <c r="H45" i="26"/>
  <c r="C8" i="27"/>
  <c r="C9" i="63"/>
  <c r="C14" i="71"/>
  <c r="C8" i="37"/>
  <c r="E15" i="54"/>
  <c r="D15" i="60" s="1"/>
  <c r="D50" i="60" s="1"/>
  <c r="D15" i="54"/>
  <c r="C15" i="60" s="1"/>
  <c r="F15" i="54"/>
  <c r="G15" i="54"/>
  <c r="E15" i="60" s="1"/>
  <c r="E50" i="60" s="1"/>
  <c r="C49" i="60"/>
  <c r="F14" i="60"/>
  <c r="G4" i="64"/>
  <c r="F40" i="64"/>
  <c r="E12" i="26"/>
  <c r="C48" i="26"/>
  <c r="D12" i="26"/>
  <c r="F19" i="66"/>
  <c r="J19" i="66" s="1"/>
  <c r="G19" i="66"/>
  <c r="A52" i="31"/>
  <c r="A17" i="31"/>
  <c r="E46" i="69"/>
  <c r="M7" i="65"/>
  <c r="D43" i="65"/>
  <c r="F8" i="65"/>
  <c r="E8" i="65"/>
  <c r="C44" i="65"/>
  <c r="G8" i="65"/>
  <c r="D8" i="65"/>
  <c r="F15" i="56"/>
  <c r="C51" i="56"/>
  <c r="E12" i="55"/>
  <c r="C48" i="55"/>
  <c r="E40" i="31"/>
  <c r="F4" i="31"/>
  <c r="F40" i="31" s="1"/>
  <c r="E6" i="64"/>
  <c r="E42" i="64" s="1"/>
  <c r="P42" i="65"/>
  <c r="G31" i="52"/>
  <c r="D32" i="52"/>
  <c r="C12" i="69"/>
  <c r="C12" i="70"/>
  <c r="C13" i="26"/>
  <c r="M25" i="59"/>
  <c r="M70" i="59"/>
  <c r="D13" i="67"/>
  <c r="E42" i="27"/>
  <c r="C6" i="31"/>
  <c r="F6" i="37"/>
  <c r="F41" i="37" s="1"/>
  <c r="E41" i="37"/>
  <c r="F47" i="67"/>
  <c r="E47" i="55"/>
  <c r="F11" i="55"/>
  <c r="F47" i="55" s="1"/>
  <c r="N42" i="65"/>
  <c r="D6" i="64"/>
  <c r="D42" i="64" s="1"/>
  <c r="D46" i="69"/>
  <c r="F10" i="69"/>
  <c r="D11" i="61"/>
  <c r="G11" i="26"/>
  <c r="E47" i="26"/>
  <c r="C43" i="27"/>
  <c r="E7" i="27"/>
  <c r="F49" i="53"/>
  <c r="C13" i="55"/>
  <c r="L57" i="39"/>
  <c r="L94" i="39" s="1"/>
  <c r="D11" i="70"/>
  <c r="E11" i="70"/>
  <c r="E47" i="70" s="1"/>
  <c r="C47" i="70"/>
  <c r="B19" i="55"/>
  <c r="B54" i="55"/>
  <c r="F7" i="63"/>
  <c r="F43" i="63" s="1"/>
  <c r="E43" i="63"/>
  <c r="A17" i="37"/>
  <c r="A51" i="37"/>
  <c r="E11" i="69"/>
  <c r="E47" i="69" s="1"/>
  <c r="D11" i="69"/>
  <c r="C47" i="69"/>
  <c r="B54" i="31"/>
  <c r="B19" i="31"/>
  <c r="C20" i="66"/>
  <c r="A21" i="66"/>
  <c r="D20" i="66"/>
  <c r="H20" i="66" s="1"/>
  <c r="E20" i="66"/>
  <c r="I20" i="66" s="1"/>
  <c r="M42" i="65"/>
  <c r="C6" i="64"/>
  <c r="B18" i="27"/>
  <c r="B53" i="27"/>
  <c r="G43" i="65"/>
  <c r="P7" i="65"/>
  <c r="C16" i="53"/>
  <c r="C16" i="54"/>
  <c r="C16" i="56"/>
  <c r="B55" i="26"/>
  <c r="B20" i="26"/>
  <c r="A18" i="70"/>
  <c r="A53" i="70"/>
  <c r="A20" i="56"/>
  <c r="A55" i="56"/>
  <c r="H10" i="67"/>
  <c r="H46" i="67" s="1"/>
  <c r="G46" i="67"/>
  <c r="E19" i="52"/>
  <c r="F19" i="52"/>
  <c r="H19" i="52" s="1"/>
  <c r="C20" i="52"/>
  <c r="B54" i="56"/>
  <c r="B19" i="56"/>
  <c r="D47" i="26"/>
  <c r="C11" i="61"/>
  <c r="F11" i="26"/>
  <c r="E75" i="59"/>
  <c r="E30" i="59"/>
  <c r="H9" i="65"/>
  <c r="G46" i="26"/>
  <c r="C41" i="31"/>
  <c r="E5" i="31"/>
  <c r="F3" i="31"/>
  <c r="F39" i="31" s="1"/>
  <c r="E39" i="31"/>
  <c r="H44" i="65"/>
  <c r="I8" i="65"/>
  <c r="I44" i="65" s="1"/>
  <c r="J8" i="65"/>
  <c r="J44" i="65" s="1"/>
  <c r="K8" i="65"/>
  <c r="L8" i="65"/>
  <c r="L44" i="65" s="1"/>
  <c r="A21" i="56" l="1"/>
  <c r="A56" i="56"/>
  <c r="G32" i="52"/>
  <c r="D33" i="52"/>
  <c r="E8" i="27"/>
  <c r="C44" i="27"/>
  <c r="F35" i="59"/>
  <c r="F80" i="59"/>
  <c r="F9" i="65"/>
  <c r="D9" i="65"/>
  <c r="E9" i="65"/>
  <c r="G9" i="65"/>
  <c r="C45" i="65"/>
  <c r="B20" i="63"/>
  <c r="B55" i="63"/>
  <c r="A57" i="61"/>
  <c r="A22" i="61"/>
  <c r="J9" i="65"/>
  <c r="J45" i="65" s="1"/>
  <c r="L9" i="65"/>
  <c r="L45" i="65" s="1"/>
  <c r="H45" i="65"/>
  <c r="K9" i="65"/>
  <c r="K45" i="65" s="1"/>
  <c r="I9" i="65"/>
  <c r="I45" i="65" s="1"/>
  <c r="F6" i="64"/>
  <c r="C42" i="64"/>
  <c r="E13" i="67"/>
  <c r="D49" i="67"/>
  <c r="F13" i="67"/>
  <c r="F49" i="67" s="1"/>
  <c r="F51" i="56"/>
  <c r="G15" i="56"/>
  <c r="G51" i="56" s="1"/>
  <c r="C7" i="64"/>
  <c r="M43" i="65"/>
  <c r="F12" i="26"/>
  <c r="D48" i="26"/>
  <c r="C12" i="61"/>
  <c r="G47" i="67"/>
  <c r="H11" i="67"/>
  <c r="F15" i="53"/>
  <c r="E51" i="53"/>
  <c r="C15" i="71"/>
  <c r="C9" i="37"/>
  <c r="C10" i="63"/>
  <c r="H46" i="26"/>
  <c r="C9" i="27"/>
  <c r="A53" i="55"/>
  <c r="A18" i="55"/>
  <c r="F41" i="64"/>
  <c r="G5" i="64"/>
  <c r="G41" i="64" s="1"/>
  <c r="E76" i="59"/>
  <c r="E31" i="59"/>
  <c r="E20" i="52"/>
  <c r="F20" i="52"/>
  <c r="H20" i="52" s="1"/>
  <c r="C21" i="52"/>
  <c r="B20" i="55"/>
  <c r="B55" i="55"/>
  <c r="H10" i="65"/>
  <c r="G47" i="26"/>
  <c r="M8" i="65"/>
  <c r="D44" i="65"/>
  <c r="B18" i="37"/>
  <c r="B52" i="37"/>
  <c r="A19" i="63"/>
  <c r="A54" i="63"/>
  <c r="B23" i="39"/>
  <c r="J22" i="39"/>
  <c r="J59" i="39" s="1"/>
  <c r="J96" i="39" s="1"/>
  <c r="K22" i="39"/>
  <c r="K59" i="39" s="1"/>
  <c r="K96" i="39" s="1"/>
  <c r="L22" i="39"/>
  <c r="L59" i="39" s="1"/>
  <c r="L96" i="39" s="1"/>
  <c r="B19" i="61"/>
  <c r="B54" i="61"/>
  <c r="I9" i="70"/>
  <c r="G45" i="70"/>
  <c r="F50" i="53"/>
  <c r="C14" i="55"/>
  <c r="F7" i="37"/>
  <c r="F42" i="37" s="1"/>
  <c r="E42" i="37"/>
  <c r="B19" i="27"/>
  <c r="B54" i="27"/>
  <c r="B20" i="31"/>
  <c r="B55" i="31"/>
  <c r="E43" i="27"/>
  <c r="C7" i="31"/>
  <c r="F49" i="60"/>
  <c r="G14" i="60"/>
  <c r="G49" i="60" s="1"/>
  <c r="A25" i="71"/>
  <c r="A59" i="71"/>
  <c r="E42" i="62"/>
  <c r="F6" i="62"/>
  <c r="F42" i="62" s="1"/>
  <c r="B55" i="56"/>
  <c r="B20" i="56"/>
  <c r="E16" i="53"/>
  <c r="C52" i="53"/>
  <c r="A54" i="70"/>
  <c r="A19" i="70"/>
  <c r="D47" i="69"/>
  <c r="F11" i="69"/>
  <c r="E48" i="26"/>
  <c r="D12" i="61"/>
  <c r="G12" i="26"/>
  <c r="F8" i="63"/>
  <c r="E44" i="63"/>
  <c r="F5" i="31"/>
  <c r="E41" i="31"/>
  <c r="C17" i="54"/>
  <c r="C17" i="56"/>
  <c r="C17" i="53"/>
  <c r="B21" i="26"/>
  <c r="B56" i="26"/>
  <c r="E7" i="64"/>
  <c r="E43" i="64" s="1"/>
  <c r="P43" i="65"/>
  <c r="C49" i="55"/>
  <c r="E13" i="55"/>
  <c r="E13" i="26"/>
  <c r="C49" i="26"/>
  <c r="D13" i="26"/>
  <c r="A18" i="31"/>
  <c r="A53" i="31"/>
  <c r="O43" i="65"/>
  <c r="A22" i="66"/>
  <c r="E21" i="66"/>
  <c r="I21" i="66" s="1"/>
  <c r="C21" i="66"/>
  <c r="D21" i="66"/>
  <c r="H21" i="66" s="1"/>
  <c r="D12" i="70"/>
  <c r="C48" i="70"/>
  <c r="E12" i="70"/>
  <c r="E48" i="70" s="1"/>
  <c r="E44" i="65"/>
  <c r="N8" i="65"/>
  <c r="E8" i="37"/>
  <c r="C43" i="37"/>
  <c r="C8" i="62"/>
  <c r="I45" i="61"/>
  <c r="A21" i="26"/>
  <c r="A56" i="26"/>
  <c r="C43" i="62"/>
  <c r="E7" i="62"/>
  <c r="E13" i="71"/>
  <c r="D48" i="71"/>
  <c r="B53" i="69"/>
  <c r="B18" i="69"/>
  <c r="B25" i="71"/>
  <c r="B59" i="71"/>
  <c r="G16" i="54"/>
  <c r="E16" i="60" s="1"/>
  <c r="E51" i="60" s="1"/>
  <c r="E16" i="54"/>
  <c r="D16" i="60" s="1"/>
  <c r="D51" i="60" s="1"/>
  <c r="F16" i="54"/>
  <c r="D16" i="54"/>
  <c r="C16" i="60" s="1"/>
  <c r="F12" i="55"/>
  <c r="F48" i="55" s="1"/>
  <c r="E48" i="55"/>
  <c r="C45" i="63"/>
  <c r="E9" i="63"/>
  <c r="G10" i="70"/>
  <c r="F46" i="70"/>
  <c r="H10" i="70"/>
  <c r="H46" i="70" s="1"/>
  <c r="I10" i="61"/>
  <c r="G46" i="61"/>
  <c r="J8" i="70"/>
  <c r="J44" i="70" s="1"/>
  <c r="I44" i="70"/>
  <c r="H11" i="61"/>
  <c r="H47" i="61" s="1"/>
  <c r="D47" i="61"/>
  <c r="C13" i="70"/>
  <c r="D14" i="67"/>
  <c r="C14" i="26"/>
  <c r="C13" i="69"/>
  <c r="M71" i="59"/>
  <c r="M26" i="59"/>
  <c r="G44" i="65"/>
  <c r="P8" i="65"/>
  <c r="C50" i="60"/>
  <c r="F15" i="60"/>
  <c r="D7" i="64"/>
  <c r="N43" i="65"/>
  <c r="F41" i="62"/>
  <c r="E48" i="67"/>
  <c r="G12" i="67"/>
  <c r="A19" i="27"/>
  <c r="A54" i="27"/>
  <c r="F46" i="69"/>
  <c r="G10" i="69"/>
  <c r="G46" i="69" s="1"/>
  <c r="J43" i="70"/>
  <c r="F47" i="26"/>
  <c r="C10" i="65"/>
  <c r="H11" i="26"/>
  <c r="F11" i="70"/>
  <c r="D47" i="70"/>
  <c r="K44" i="65"/>
  <c r="G11" i="61"/>
  <c r="C47" i="61"/>
  <c r="C52" i="56"/>
  <c r="F16" i="56"/>
  <c r="G20" i="66"/>
  <c r="F20" i="66"/>
  <c r="J20" i="66" s="1"/>
  <c r="A52" i="37"/>
  <c r="A18" i="37"/>
  <c r="E6" i="31"/>
  <c r="C42" i="31"/>
  <c r="E12" i="69"/>
  <c r="E48" i="69" s="1"/>
  <c r="C48" i="69"/>
  <c r="D12" i="69"/>
  <c r="F44" i="65"/>
  <c r="O8" i="65"/>
  <c r="O44" i="65" s="1"/>
  <c r="G40" i="64"/>
  <c r="C49" i="71"/>
  <c r="D14" i="71"/>
  <c r="B53" i="70"/>
  <c r="B18" i="70"/>
  <c r="A54" i="69"/>
  <c r="A19" i="69"/>
  <c r="H46" i="61"/>
  <c r="E42" i="31" l="1"/>
  <c r="F6" i="31"/>
  <c r="F42" i="31" s="1"/>
  <c r="D48" i="70"/>
  <c r="F12" i="70"/>
  <c r="A19" i="31"/>
  <c r="A54" i="31"/>
  <c r="F41" i="31"/>
  <c r="B56" i="31"/>
  <c r="B21" i="31"/>
  <c r="I11" i="61"/>
  <c r="G47" i="61"/>
  <c r="G46" i="70"/>
  <c r="I10" i="70"/>
  <c r="E48" i="71"/>
  <c r="E8" i="62"/>
  <c r="C44" i="62"/>
  <c r="C13" i="61"/>
  <c r="F13" i="26"/>
  <c r="D49" i="26"/>
  <c r="A55" i="70"/>
  <c r="A20" i="70"/>
  <c r="C43" i="64"/>
  <c r="F7" i="64"/>
  <c r="A23" i="61"/>
  <c r="A58" i="61"/>
  <c r="F44" i="63"/>
  <c r="A60" i="71"/>
  <c r="A26" i="71"/>
  <c r="B56" i="55"/>
  <c r="B21" i="55"/>
  <c r="F51" i="53"/>
  <c r="C15" i="55"/>
  <c r="F42" i="64"/>
  <c r="G6" i="64"/>
  <c r="G42" i="64" s="1"/>
  <c r="A57" i="56"/>
  <c r="A22" i="56"/>
  <c r="H47" i="67"/>
  <c r="B19" i="70"/>
  <c r="B54" i="70"/>
  <c r="D13" i="69"/>
  <c r="E13" i="69"/>
  <c r="E49" i="69" s="1"/>
  <c r="C49" i="69"/>
  <c r="B26" i="71"/>
  <c r="B60" i="71"/>
  <c r="N44" i="65"/>
  <c r="D8" i="64"/>
  <c r="D44" i="64" s="1"/>
  <c r="C53" i="56"/>
  <c r="F17" i="56"/>
  <c r="C45" i="27"/>
  <c r="E9" i="27"/>
  <c r="F36" i="59"/>
  <c r="F81" i="59"/>
  <c r="F47" i="70"/>
  <c r="H11" i="70"/>
  <c r="H47" i="70" s="1"/>
  <c r="G11" i="70"/>
  <c r="D43" i="64"/>
  <c r="E14" i="26"/>
  <c r="D14" i="26"/>
  <c r="C50" i="26"/>
  <c r="B19" i="69"/>
  <c r="B54" i="69"/>
  <c r="D17" i="54"/>
  <c r="C17" i="60" s="1"/>
  <c r="G17" i="54"/>
  <c r="E17" i="60" s="1"/>
  <c r="E52" i="60" s="1"/>
  <c r="F17" i="54"/>
  <c r="E17" i="54"/>
  <c r="D17" i="60" s="1"/>
  <c r="D52" i="60" s="1"/>
  <c r="B56" i="56"/>
  <c r="B21" i="56"/>
  <c r="C43" i="31"/>
  <c r="E7" i="31"/>
  <c r="C18" i="56"/>
  <c r="C18" i="53"/>
  <c r="C18" i="54"/>
  <c r="C48" i="61"/>
  <c r="G12" i="61"/>
  <c r="D45" i="65"/>
  <c r="M9" i="65"/>
  <c r="A55" i="69"/>
  <c r="A20" i="69"/>
  <c r="A19" i="37"/>
  <c r="A53" i="37"/>
  <c r="C14" i="70"/>
  <c r="C14" i="69"/>
  <c r="D15" i="67"/>
  <c r="M27" i="59"/>
  <c r="M72" i="59"/>
  <c r="C15" i="26"/>
  <c r="E45" i="63"/>
  <c r="F9" i="63"/>
  <c r="F45" i="63" s="1"/>
  <c r="G21" i="66"/>
  <c r="F21" i="66"/>
  <c r="J21" i="66" s="1"/>
  <c r="B57" i="26"/>
  <c r="B22" i="26"/>
  <c r="A55" i="63"/>
  <c r="A20" i="63"/>
  <c r="A19" i="55"/>
  <c r="A54" i="55"/>
  <c r="F45" i="65"/>
  <c r="O9" i="65"/>
  <c r="O45" i="65" s="1"/>
  <c r="E43" i="37"/>
  <c r="F8" i="37"/>
  <c r="G13" i="26"/>
  <c r="E49" i="26"/>
  <c r="D13" i="61"/>
  <c r="E17" i="53"/>
  <c r="C53" i="53"/>
  <c r="D48" i="69"/>
  <c r="F12" i="69"/>
  <c r="E22" i="66"/>
  <c r="I22" i="66" s="1"/>
  <c r="A23" i="66"/>
  <c r="C22" i="66"/>
  <c r="D22" i="66"/>
  <c r="H22" i="66" s="1"/>
  <c r="H12" i="61"/>
  <c r="H48" i="61" s="1"/>
  <c r="D48" i="61"/>
  <c r="D49" i="71"/>
  <c r="E14" i="71"/>
  <c r="E49" i="71" s="1"/>
  <c r="F52" i="56"/>
  <c r="G16" i="56"/>
  <c r="G52" i="56" s="1"/>
  <c r="C10" i="27"/>
  <c r="C16" i="71"/>
  <c r="C11" i="63"/>
  <c r="C10" i="37"/>
  <c r="H47" i="26"/>
  <c r="A55" i="27"/>
  <c r="A20" i="27"/>
  <c r="F50" i="60"/>
  <c r="G15" i="60"/>
  <c r="G50" i="60" s="1"/>
  <c r="D50" i="67"/>
  <c r="E14" i="67"/>
  <c r="F14" i="67"/>
  <c r="F50" i="67" s="1"/>
  <c r="I46" i="61"/>
  <c r="C9" i="62"/>
  <c r="C50" i="55"/>
  <c r="E14" i="55"/>
  <c r="C8" i="64"/>
  <c r="M44" i="65"/>
  <c r="E77" i="59"/>
  <c r="E32" i="59"/>
  <c r="C46" i="63"/>
  <c r="E10" i="63"/>
  <c r="C8" i="31"/>
  <c r="E44" i="27"/>
  <c r="P44" i="65"/>
  <c r="E8" i="64"/>
  <c r="E44" i="64" s="1"/>
  <c r="L10" i="65"/>
  <c r="I10" i="65"/>
  <c r="I46" i="65" s="1"/>
  <c r="K10" i="65"/>
  <c r="H46" i="65"/>
  <c r="J10" i="65"/>
  <c r="J46" i="65" s="1"/>
  <c r="D15" i="71"/>
  <c r="C50" i="71"/>
  <c r="N9" i="65"/>
  <c r="E45" i="65"/>
  <c r="J9" i="70"/>
  <c r="I45" i="70"/>
  <c r="B55" i="27"/>
  <c r="B20" i="27"/>
  <c r="G48" i="26"/>
  <c r="H11" i="65"/>
  <c r="B20" i="61"/>
  <c r="B55" i="61"/>
  <c r="F21" i="52"/>
  <c r="H21" i="52" s="1"/>
  <c r="C22" i="52"/>
  <c r="E21" i="52"/>
  <c r="E43" i="62"/>
  <c r="F7" i="62"/>
  <c r="E49" i="55"/>
  <c r="F13" i="55"/>
  <c r="F49" i="55" s="1"/>
  <c r="F16" i="53"/>
  <c r="E52" i="53"/>
  <c r="B53" i="37"/>
  <c r="B19" i="37"/>
  <c r="B21" i="63"/>
  <c r="B56" i="63"/>
  <c r="F10" i="65"/>
  <c r="D10" i="65"/>
  <c r="C46" i="65"/>
  <c r="E10" i="65"/>
  <c r="G10" i="65"/>
  <c r="G48" i="67"/>
  <c r="H12" i="67"/>
  <c r="H48" i="67" s="1"/>
  <c r="D13" i="70"/>
  <c r="E13" i="70"/>
  <c r="E49" i="70" s="1"/>
  <c r="C49" i="70"/>
  <c r="C51" i="60"/>
  <c r="F16" i="60"/>
  <c r="A22" i="26"/>
  <c r="A57" i="26"/>
  <c r="F47" i="69"/>
  <c r="G11" i="69"/>
  <c r="G47" i="69" s="1"/>
  <c r="B24" i="39"/>
  <c r="K23" i="39"/>
  <c r="K60" i="39" s="1"/>
  <c r="K97" i="39" s="1"/>
  <c r="J23" i="39"/>
  <c r="J60" i="39" s="1"/>
  <c r="J97" i="39" s="1"/>
  <c r="L23" i="39"/>
  <c r="L60" i="39" s="1"/>
  <c r="L97" i="39" s="1"/>
  <c r="E9" i="37"/>
  <c r="C44" i="37"/>
  <c r="H12" i="26"/>
  <c r="F48" i="26"/>
  <c r="C11" i="65"/>
  <c r="E49" i="67"/>
  <c r="G13" i="67"/>
  <c r="G45" i="65"/>
  <c r="P9" i="65"/>
  <c r="D34" i="52"/>
  <c r="G33" i="52"/>
  <c r="B21" i="27" l="1"/>
  <c r="B56" i="27"/>
  <c r="G14" i="67"/>
  <c r="E50" i="67"/>
  <c r="F7" i="31"/>
  <c r="F43" i="31" s="1"/>
  <c r="E43" i="31"/>
  <c r="A23" i="26"/>
  <c r="A58" i="26"/>
  <c r="G46" i="65"/>
  <c r="P10" i="65"/>
  <c r="E8" i="31"/>
  <c r="C44" i="31"/>
  <c r="F14" i="55"/>
  <c r="F50" i="55" s="1"/>
  <c r="E50" i="55"/>
  <c r="E10" i="27"/>
  <c r="C46" i="27"/>
  <c r="F22" i="66"/>
  <c r="J22" i="66" s="1"/>
  <c r="G22" i="66"/>
  <c r="F17" i="53"/>
  <c r="E53" i="53"/>
  <c r="C50" i="70"/>
  <c r="D14" i="70"/>
  <c r="E14" i="70"/>
  <c r="E50" i="70" s="1"/>
  <c r="G48" i="61"/>
  <c r="I12" i="61"/>
  <c r="B22" i="56"/>
  <c r="B57" i="56"/>
  <c r="B20" i="69"/>
  <c r="B55" i="69"/>
  <c r="A24" i="61"/>
  <c r="A59" i="61"/>
  <c r="H12" i="70"/>
  <c r="H48" i="70" s="1"/>
  <c r="F48" i="70"/>
  <c r="G12" i="70"/>
  <c r="G11" i="65"/>
  <c r="E11" i="65"/>
  <c r="F11" i="65"/>
  <c r="D11" i="65"/>
  <c r="C47" i="65"/>
  <c r="F51" i="60"/>
  <c r="G16" i="60"/>
  <c r="G51" i="60" s="1"/>
  <c r="E46" i="65"/>
  <c r="N10" i="65"/>
  <c r="J45" i="70"/>
  <c r="E46" i="63"/>
  <c r="F10" i="63"/>
  <c r="C23" i="66"/>
  <c r="A24" i="66"/>
  <c r="D23" i="66"/>
  <c r="H23" i="66" s="1"/>
  <c r="E23" i="66"/>
  <c r="I23" i="66" s="1"/>
  <c r="H13" i="61"/>
  <c r="H49" i="61" s="1"/>
  <c r="D49" i="61"/>
  <c r="B57" i="55"/>
  <c r="B22" i="55"/>
  <c r="F43" i="64"/>
  <c r="G7" i="64"/>
  <c r="F8" i="62"/>
  <c r="F44" i="62" s="1"/>
  <c r="E44" i="62"/>
  <c r="B57" i="63"/>
  <c r="B22" i="63"/>
  <c r="E15" i="67"/>
  <c r="D51" i="67"/>
  <c r="F15" i="67"/>
  <c r="F51" i="67" s="1"/>
  <c r="C9" i="64"/>
  <c r="M45" i="65"/>
  <c r="F49" i="26"/>
  <c r="H13" i="26"/>
  <c r="C12" i="65"/>
  <c r="E15" i="55"/>
  <c r="C51" i="55"/>
  <c r="C10" i="62"/>
  <c r="I47" i="61"/>
  <c r="A20" i="37"/>
  <c r="A54" i="37"/>
  <c r="F18" i="54"/>
  <c r="E18" i="54"/>
  <c r="D18" i="60" s="1"/>
  <c r="D53" i="60" s="1"/>
  <c r="D18" i="54"/>
  <c r="C18" i="60" s="1"/>
  <c r="G18" i="54"/>
  <c r="E18" i="60" s="1"/>
  <c r="E53" i="60" s="1"/>
  <c r="F14" i="26"/>
  <c r="C14" i="61"/>
  <c r="D50" i="26"/>
  <c r="A58" i="56"/>
  <c r="A23" i="56"/>
  <c r="D35" i="52"/>
  <c r="G35" i="52" s="1"/>
  <c r="G34" i="52"/>
  <c r="D36" i="52"/>
  <c r="C11" i="37"/>
  <c r="C17" i="71"/>
  <c r="H48" i="26"/>
  <c r="C11" i="27"/>
  <c r="C12" i="63"/>
  <c r="D46" i="65"/>
  <c r="M10" i="65"/>
  <c r="B56" i="61"/>
  <c r="B21" i="61"/>
  <c r="N45" i="65"/>
  <c r="D9" i="64"/>
  <c r="D45" i="64" s="1"/>
  <c r="E78" i="59"/>
  <c r="E33" i="59"/>
  <c r="C45" i="62"/>
  <c r="E9" i="62"/>
  <c r="F48" i="69"/>
  <c r="G12" i="69"/>
  <c r="G48" i="69" s="1"/>
  <c r="G49" i="26"/>
  <c r="H12" i="65"/>
  <c r="A21" i="63"/>
  <c r="A56" i="63"/>
  <c r="E15" i="26"/>
  <c r="D15" i="26"/>
  <c r="C51" i="26"/>
  <c r="A21" i="69"/>
  <c r="A56" i="69"/>
  <c r="E18" i="53"/>
  <c r="C54" i="53"/>
  <c r="D14" i="61"/>
  <c r="G14" i="26"/>
  <c r="E50" i="26"/>
  <c r="E45" i="27"/>
  <c r="C9" i="31"/>
  <c r="A61" i="71"/>
  <c r="A27" i="71"/>
  <c r="A56" i="70"/>
  <c r="A21" i="70"/>
  <c r="D50" i="71"/>
  <c r="E15" i="71"/>
  <c r="G47" i="70"/>
  <c r="I11" i="70"/>
  <c r="G49" i="67"/>
  <c r="H13" i="67"/>
  <c r="H49" i="67" s="1"/>
  <c r="B20" i="37"/>
  <c r="B54" i="37"/>
  <c r="C44" i="64"/>
  <c r="F8" i="64"/>
  <c r="C50" i="69"/>
  <c r="D14" i="69"/>
  <c r="E14" i="69"/>
  <c r="E50" i="69" s="1"/>
  <c r="B55" i="70"/>
  <c r="B20" i="70"/>
  <c r="A20" i="31"/>
  <c r="A55" i="31"/>
  <c r="F82" i="59"/>
  <c r="F37" i="59"/>
  <c r="B27" i="71"/>
  <c r="B61" i="71"/>
  <c r="B22" i="31"/>
  <c r="B57" i="31"/>
  <c r="F46" i="65"/>
  <c r="O10" i="65"/>
  <c r="J11" i="65"/>
  <c r="J47" i="65" s="1"/>
  <c r="L11" i="65"/>
  <c r="L47" i="65" s="1"/>
  <c r="H47" i="65"/>
  <c r="K11" i="65"/>
  <c r="K47" i="65" s="1"/>
  <c r="I11" i="65"/>
  <c r="I47" i="65" s="1"/>
  <c r="L46" i="65"/>
  <c r="F43" i="37"/>
  <c r="F18" i="56"/>
  <c r="C54" i="56"/>
  <c r="J10" i="70"/>
  <c r="J46" i="70" s="1"/>
  <c r="I46" i="70"/>
  <c r="F9" i="37"/>
  <c r="F44" i="37" s="1"/>
  <c r="E44" i="37"/>
  <c r="C47" i="63"/>
  <c r="E11" i="63"/>
  <c r="C19" i="53"/>
  <c r="C19" i="54"/>
  <c r="C19" i="56"/>
  <c r="D16" i="71"/>
  <c r="C51" i="71"/>
  <c r="G13" i="61"/>
  <c r="C49" i="61"/>
  <c r="F22" i="52"/>
  <c r="H22" i="52" s="1"/>
  <c r="E22" i="52"/>
  <c r="C23" i="52"/>
  <c r="B25" i="39"/>
  <c r="K24" i="39"/>
  <c r="K61" i="39" s="1"/>
  <c r="K98" i="39" s="1"/>
  <c r="J24" i="39"/>
  <c r="J61" i="39" s="1"/>
  <c r="J98" i="39" s="1"/>
  <c r="L24" i="39"/>
  <c r="L61" i="39" s="1"/>
  <c r="L98" i="39" s="1"/>
  <c r="C16" i="55"/>
  <c r="F52" i="53"/>
  <c r="K46" i="65"/>
  <c r="A21" i="27"/>
  <c r="A56" i="27"/>
  <c r="A20" i="55"/>
  <c r="A55" i="55"/>
  <c r="P45" i="65"/>
  <c r="E9" i="64"/>
  <c r="E45" i="64" s="1"/>
  <c r="D49" i="70"/>
  <c r="F13" i="70"/>
  <c r="F43" i="62"/>
  <c r="E10" i="37"/>
  <c r="C45" i="37"/>
  <c r="B23" i="26"/>
  <c r="B58" i="26"/>
  <c r="C15" i="70"/>
  <c r="C16" i="26"/>
  <c r="D16" i="67"/>
  <c r="C15" i="69"/>
  <c r="M73" i="59"/>
  <c r="M28" i="59"/>
  <c r="F17" i="60"/>
  <c r="C52" i="60"/>
  <c r="G17" i="56"/>
  <c r="G53" i="56" s="1"/>
  <c r="F53" i="56"/>
  <c r="D49" i="69"/>
  <c r="F13" i="69"/>
  <c r="E45" i="37" l="1"/>
  <c r="F10" i="37"/>
  <c r="F54" i="56"/>
  <c r="G18" i="56"/>
  <c r="G54" i="56" s="1"/>
  <c r="F16" i="67"/>
  <c r="F52" i="67" s="1"/>
  <c r="E16" i="67"/>
  <c r="D52" i="67"/>
  <c r="I13" i="61"/>
  <c r="G49" i="61"/>
  <c r="A62" i="71"/>
  <c r="A28" i="71"/>
  <c r="C47" i="27"/>
  <c r="E11" i="27"/>
  <c r="P11" i="65"/>
  <c r="G47" i="65"/>
  <c r="C17" i="55"/>
  <c r="F53" i="53"/>
  <c r="C52" i="26"/>
  <c r="E16" i="26"/>
  <c r="D16" i="26"/>
  <c r="A21" i="55"/>
  <c r="A56" i="55"/>
  <c r="O46" i="65"/>
  <c r="D50" i="69"/>
  <c r="F14" i="69"/>
  <c r="E54" i="53"/>
  <c r="F18" i="53"/>
  <c r="K12" i="65"/>
  <c r="K48" i="65" s="1"/>
  <c r="L12" i="65"/>
  <c r="L48" i="65" s="1"/>
  <c r="H48" i="65"/>
  <c r="I12" i="65"/>
  <c r="I48" i="65" s="1"/>
  <c r="J12" i="65"/>
  <c r="J48" i="65" s="1"/>
  <c r="A55" i="37"/>
  <c r="A21" i="37"/>
  <c r="G48" i="70"/>
  <c r="I12" i="70"/>
  <c r="B23" i="56"/>
  <c r="B58" i="56"/>
  <c r="E44" i="31"/>
  <c r="F8" i="31"/>
  <c r="F44" i="31" s="1"/>
  <c r="G50" i="67"/>
  <c r="H14" i="67"/>
  <c r="H50" i="67" s="1"/>
  <c r="F52" i="60"/>
  <c r="G17" i="60"/>
  <c r="G52" i="60" s="1"/>
  <c r="D15" i="70"/>
  <c r="E15" i="70"/>
  <c r="E51" i="70" s="1"/>
  <c r="C51" i="70"/>
  <c r="D51" i="71"/>
  <c r="E16" i="71"/>
  <c r="E51" i="71" s="1"/>
  <c r="J11" i="70"/>
  <c r="J47" i="70" s="1"/>
  <c r="I47" i="70"/>
  <c r="D17" i="71"/>
  <c r="C52" i="71"/>
  <c r="C50" i="61"/>
  <c r="G14" i="61"/>
  <c r="F9" i="64"/>
  <c r="C45" i="64"/>
  <c r="G43" i="64"/>
  <c r="D24" i="66"/>
  <c r="H24" i="66" s="1"/>
  <c r="C24" i="66"/>
  <c r="E24" i="66"/>
  <c r="I24" i="66" s="1"/>
  <c r="A25" i="66"/>
  <c r="C11" i="62"/>
  <c r="I48" i="61"/>
  <c r="P46" i="65"/>
  <c r="E10" i="64"/>
  <c r="E46" i="64" s="1"/>
  <c r="B62" i="71"/>
  <c r="B28" i="71"/>
  <c r="D50" i="61"/>
  <c r="H14" i="61"/>
  <c r="H50" i="61" s="1"/>
  <c r="A24" i="56"/>
  <c r="A59" i="56"/>
  <c r="A57" i="63"/>
  <c r="A22" i="63"/>
  <c r="F23" i="66"/>
  <c r="J23" i="66" s="1"/>
  <c r="G23" i="66"/>
  <c r="B57" i="27"/>
  <c r="B22" i="27"/>
  <c r="B59" i="26"/>
  <c r="B24" i="26"/>
  <c r="F23" i="52"/>
  <c r="H23" i="52" s="1"/>
  <c r="C24" i="52"/>
  <c r="E23" i="52"/>
  <c r="G19" i="54"/>
  <c r="E19" i="60" s="1"/>
  <c r="E54" i="60" s="1"/>
  <c r="F19" i="54"/>
  <c r="D19" i="54"/>
  <c r="C19" i="60" s="1"/>
  <c r="E19" i="54"/>
  <c r="D19" i="60" s="1"/>
  <c r="D54" i="60" s="1"/>
  <c r="G8" i="64"/>
  <c r="G44" i="64" s="1"/>
  <c r="F44" i="64"/>
  <c r="E50" i="71"/>
  <c r="B58" i="55"/>
  <c r="B23" i="55"/>
  <c r="F46" i="63"/>
  <c r="E34" i="59"/>
  <c r="E79" i="59"/>
  <c r="G13" i="70"/>
  <c r="F49" i="70"/>
  <c r="H13" i="70"/>
  <c r="H49" i="70" s="1"/>
  <c r="B26" i="39"/>
  <c r="K25" i="39"/>
  <c r="K62" i="39" s="1"/>
  <c r="K99" i="39" s="1"/>
  <c r="J25" i="39"/>
  <c r="J62" i="39" s="1"/>
  <c r="J99" i="39" s="1"/>
  <c r="L25" i="39"/>
  <c r="L62" i="39" s="1"/>
  <c r="L99" i="39" s="1"/>
  <c r="C45" i="31"/>
  <c r="E9" i="31"/>
  <c r="E11" i="37"/>
  <c r="C46" i="37"/>
  <c r="C46" i="62"/>
  <c r="E10" i="62"/>
  <c r="G13" i="69"/>
  <c r="G49" i="69" s="1"/>
  <c r="F49" i="69"/>
  <c r="D17" i="67"/>
  <c r="M29" i="59"/>
  <c r="C16" i="70"/>
  <c r="C16" i="69"/>
  <c r="C17" i="26"/>
  <c r="M74" i="59"/>
  <c r="C20" i="56"/>
  <c r="C20" i="53"/>
  <c r="C20" i="54"/>
  <c r="C55" i="53"/>
  <c r="E19" i="53"/>
  <c r="B58" i="31"/>
  <c r="B23" i="31"/>
  <c r="A21" i="31"/>
  <c r="A56" i="31"/>
  <c r="F15" i="26"/>
  <c r="D51" i="26"/>
  <c r="C15" i="61"/>
  <c r="E45" i="62"/>
  <c r="F9" i="62"/>
  <c r="M46" i="65"/>
  <c r="C10" i="64"/>
  <c r="C53" i="60"/>
  <c r="F18" i="60"/>
  <c r="E51" i="55"/>
  <c r="F15" i="55"/>
  <c r="F51" i="55" s="1"/>
  <c r="G15" i="67"/>
  <c r="E51" i="67"/>
  <c r="M11" i="65"/>
  <c r="D47" i="65"/>
  <c r="A25" i="61"/>
  <c r="A60" i="61"/>
  <c r="D50" i="70"/>
  <c r="F14" i="70"/>
  <c r="E46" i="27"/>
  <c r="C10" i="31"/>
  <c r="A24" i="26"/>
  <c r="A59" i="26"/>
  <c r="E15" i="69"/>
  <c r="E51" i="69" s="1"/>
  <c r="D15" i="69"/>
  <c r="C51" i="69"/>
  <c r="E16" i="55"/>
  <c r="C52" i="55"/>
  <c r="B55" i="37"/>
  <c r="B21" i="37"/>
  <c r="E12" i="63"/>
  <c r="C48" i="63"/>
  <c r="C12" i="27"/>
  <c r="H49" i="26"/>
  <c r="C13" i="63"/>
  <c r="C18" i="71"/>
  <c r="C12" i="37"/>
  <c r="N11" i="65"/>
  <c r="E47" i="65"/>
  <c r="B21" i="69"/>
  <c r="B56" i="69"/>
  <c r="F83" i="59"/>
  <c r="F38" i="59"/>
  <c r="D10" i="64"/>
  <c r="D46" i="64" s="1"/>
  <c r="N46" i="65"/>
  <c r="A22" i="27"/>
  <c r="A57" i="27"/>
  <c r="C55" i="56"/>
  <c r="F19" i="56"/>
  <c r="A57" i="69"/>
  <c r="A22" i="69"/>
  <c r="B22" i="61"/>
  <c r="B57" i="61"/>
  <c r="C13" i="65"/>
  <c r="F50" i="26"/>
  <c r="H14" i="26"/>
  <c r="E47" i="63"/>
  <c r="F11" i="63"/>
  <c r="F47" i="63" s="1"/>
  <c r="B56" i="70"/>
  <c r="B21" i="70"/>
  <c r="A57" i="70"/>
  <c r="A22" i="70"/>
  <c r="G50" i="26"/>
  <c r="H13" i="65"/>
  <c r="D15" i="61"/>
  <c r="E51" i="26"/>
  <c r="G15" i="26"/>
  <c r="D12" i="65"/>
  <c r="F12" i="65"/>
  <c r="G12" i="65"/>
  <c r="C48" i="65"/>
  <c r="E12" i="65"/>
  <c r="B58" i="63"/>
  <c r="B23" i="63"/>
  <c r="O11" i="65"/>
  <c r="O47" i="65" s="1"/>
  <c r="F47" i="65"/>
  <c r="J13" i="65" l="1"/>
  <c r="J49" i="65" s="1"/>
  <c r="K13" i="65"/>
  <c r="K49" i="65" s="1"/>
  <c r="H49" i="65"/>
  <c r="L13" i="65"/>
  <c r="L49" i="65" s="1"/>
  <c r="I13" i="65"/>
  <c r="I49" i="65" s="1"/>
  <c r="E12" i="27"/>
  <c r="C48" i="27"/>
  <c r="F53" i="60"/>
  <c r="G18" i="60"/>
  <c r="G53" i="60" s="1"/>
  <c r="D16" i="70"/>
  <c r="E16" i="70"/>
  <c r="E52" i="70" s="1"/>
  <c r="C52" i="70"/>
  <c r="C12" i="62"/>
  <c r="I49" i="61"/>
  <c r="E20" i="54"/>
  <c r="D20" i="60" s="1"/>
  <c r="D55" i="60" s="1"/>
  <c r="D20" i="54"/>
  <c r="C20" i="60" s="1"/>
  <c r="G20" i="54"/>
  <c r="E20" i="60" s="1"/>
  <c r="E55" i="60" s="1"/>
  <c r="F20" i="54"/>
  <c r="G24" i="66"/>
  <c r="F24" i="66"/>
  <c r="J24" i="66" s="1"/>
  <c r="C56" i="53"/>
  <c r="E20" i="53"/>
  <c r="D53" i="67"/>
  <c r="F17" i="67"/>
  <c r="F53" i="67" s="1"/>
  <c r="E17" i="67"/>
  <c r="E45" i="31"/>
  <c r="F9" i="31"/>
  <c r="G49" i="70"/>
  <c r="I13" i="70"/>
  <c r="C25" i="52"/>
  <c r="E24" i="52"/>
  <c r="F24" i="52"/>
  <c r="H24" i="52" s="1"/>
  <c r="D52" i="71"/>
  <c r="E17" i="71"/>
  <c r="I48" i="70"/>
  <c r="J12" i="70"/>
  <c r="J48" i="70" s="1"/>
  <c r="P47" i="65"/>
  <c r="E11" i="64"/>
  <c r="E47" i="64" s="1"/>
  <c r="E52" i="67"/>
  <c r="G16" i="67"/>
  <c r="M12" i="65"/>
  <c r="D48" i="65"/>
  <c r="C49" i="65"/>
  <c r="D13" i="65"/>
  <c r="F13" i="65"/>
  <c r="G13" i="65"/>
  <c r="E13" i="65"/>
  <c r="A23" i="27"/>
  <c r="A58" i="27"/>
  <c r="D11" i="64"/>
  <c r="D47" i="64" s="1"/>
  <c r="N47" i="65"/>
  <c r="B22" i="37"/>
  <c r="B56" i="37"/>
  <c r="A25" i="26"/>
  <c r="A60" i="26"/>
  <c r="C11" i="64"/>
  <c r="M47" i="65"/>
  <c r="F10" i="64"/>
  <c r="C46" i="64"/>
  <c r="A22" i="31"/>
  <c r="A57" i="31"/>
  <c r="C56" i="56"/>
  <c r="F20" i="56"/>
  <c r="A23" i="63"/>
  <c r="A58" i="63"/>
  <c r="A22" i="55"/>
  <c r="A57" i="55"/>
  <c r="E47" i="27"/>
  <c r="C11" i="31"/>
  <c r="F55" i="56"/>
  <c r="G19" i="56"/>
  <c r="G55" i="56" s="1"/>
  <c r="C14" i="63"/>
  <c r="C13" i="37"/>
  <c r="C13" i="27"/>
  <c r="H50" i="26"/>
  <c r="C19" i="71"/>
  <c r="B22" i="69"/>
  <c r="B57" i="69"/>
  <c r="A26" i="61"/>
  <c r="A61" i="61"/>
  <c r="B63" i="71"/>
  <c r="B29" i="71"/>
  <c r="F12" i="63"/>
  <c r="F48" i="63" s="1"/>
  <c r="E48" i="63"/>
  <c r="C46" i="31"/>
  <c r="E10" i="31"/>
  <c r="E35" i="59"/>
  <c r="E80" i="59"/>
  <c r="A56" i="37"/>
  <c r="A22" i="37"/>
  <c r="C18" i="55"/>
  <c r="F54" i="53"/>
  <c r="D52" i="26"/>
  <c r="F16" i="26"/>
  <c r="C16" i="61"/>
  <c r="B59" i="63"/>
  <c r="B24" i="63"/>
  <c r="G51" i="26"/>
  <c r="H14" i="65"/>
  <c r="B23" i="61"/>
  <c r="B58" i="61"/>
  <c r="C53" i="71"/>
  <c r="D18" i="71"/>
  <c r="H15" i="67"/>
  <c r="H51" i="67" s="1"/>
  <c r="G51" i="67"/>
  <c r="F45" i="62"/>
  <c r="E52" i="26"/>
  <c r="G16" i="26"/>
  <c r="D16" i="61"/>
  <c r="A29" i="71"/>
  <c r="A63" i="71"/>
  <c r="D51" i="69"/>
  <c r="F15" i="69"/>
  <c r="C53" i="55"/>
  <c r="E17" i="55"/>
  <c r="C14" i="65"/>
  <c r="H15" i="26"/>
  <c r="F51" i="26"/>
  <c r="C21" i="54"/>
  <c r="C21" i="53"/>
  <c r="C21" i="56"/>
  <c r="B59" i="56"/>
  <c r="B24" i="56"/>
  <c r="A23" i="70"/>
  <c r="A58" i="70"/>
  <c r="B57" i="70"/>
  <c r="B22" i="70"/>
  <c r="E12" i="37"/>
  <c r="C47" i="37"/>
  <c r="B24" i="31"/>
  <c r="B59" i="31"/>
  <c r="B60" i="26"/>
  <c r="B25" i="26"/>
  <c r="A58" i="69"/>
  <c r="A23" i="69"/>
  <c r="F39" i="59"/>
  <c r="F84" i="59"/>
  <c r="E13" i="63"/>
  <c r="C49" i="63"/>
  <c r="E52" i="55"/>
  <c r="F16" i="55"/>
  <c r="F52" i="55" s="1"/>
  <c r="H14" i="70"/>
  <c r="H50" i="70" s="1"/>
  <c r="F50" i="70"/>
  <c r="G14" i="70"/>
  <c r="D17" i="26"/>
  <c r="C53" i="26"/>
  <c r="E17" i="26"/>
  <c r="F10" i="62"/>
  <c r="F46" i="62" s="1"/>
  <c r="E46" i="62"/>
  <c r="C54" i="60"/>
  <c r="F19" i="60"/>
  <c r="A25" i="56"/>
  <c r="A60" i="56"/>
  <c r="C47" i="62"/>
  <c r="E11" i="62"/>
  <c r="G9" i="64"/>
  <c r="G45" i="64" s="1"/>
  <c r="F45" i="64"/>
  <c r="F50" i="69"/>
  <c r="G14" i="69"/>
  <c r="G50" i="69" s="1"/>
  <c r="F45" i="37"/>
  <c r="P12" i="65"/>
  <c r="G48" i="65"/>
  <c r="C17" i="70"/>
  <c r="C18" i="26"/>
  <c r="M30" i="59"/>
  <c r="D18" i="67"/>
  <c r="C17" i="69"/>
  <c r="M75" i="59"/>
  <c r="E46" i="37"/>
  <c r="F11" i="37"/>
  <c r="F46" i="37" s="1"/>
  <c r="D51" i="70"/>
  <c r="F15" i="70"/>
  <c r="O12" i="65"/>
  <c r="O48" i="65" s="1"/>
  <c r="F48" i="65"/>
  <c r="E48" i="65"/>
  <c r="N12" i="65"/>
  <c r="D51" i="61"/>
  <c r="H15" i="61"/>
  <c r="H51" i="61" s="1"/>
  <c r="C51" i="61"/>
  <c r="G15" i="61"/>
  <c r="E55" i="53"/>
  <c r="F19" i="53"/>
  <c r="D16" i="69"/>
  <c r="C52" i="69"/>
  <c r="E16" i="69"/>
  <c r="E52" i="69" s="1"/>
  <c r="B27" i="39"/>
  <c r="L26" i="39"/>
  <c r="L63" i="39" s="1"/>
  <c r="L100" i="39" s="1"/>
  <c r="K26" i="39"/>
  <c r="K63" i="39" s="1"/>
  <c r="K100" i="39" s="1"/>
  <c r="J26" i="39"/>
  <c r="J63" i="39" s="1"/>
  <c r="J100" i="39" s="1"/>
  <c r="B24" i="55"/>
  <c r="B59" i="55"/>
  <c r="B23" i="27"/>
  <c r="B58" i="27"/>
  <c r="C25" i="66"/>
  <c r="D25" i="66"/>
  <c r="H25" i="66" s="1"/>
  <c r="E25" i="66"/>
  <c r="I25" i="66" s="1"/>
  <c r="A26" i="66"/>
  <c r="I14" i="61"/>
  <c r="G50" i="61"/>
  <c r="B59" i="27" l="1"/>
  <c r="B24" i="27"/>
  <c r="F11" i="62"/>
  <c r="E47" i="62"/>
  <c r="E11" i="31"/>
  <c r="C47" i="31"/>
  <c r="G52" i="67"/>
  <c r="H16" i="67"/>
  <c r="H52" i="67" s="1"/>
  <c r="B60" i="31"/>
  <c r="B25" i="31"/>
  <c r="J14" i="65"/>
  <c r="J50" i="65" s="1"/>
  <c r="K14" i="65"/>
  <c r="K50" i="65" s="1"/>
  <c r="L14" i="65"/>
  <c r="L50" i="65" s="1"/>
  <c r="H50" i="65"/>
  <c r="I14" i="65"/>
  <c r="I50" i="65" s="1"/>
  <c r="D19" i="71"/>
  <c r="C54" i="71"/>
  <c r="C22" i="56"/>
  <c r="C22" i="53"/>
  <c r="C22" i="54"/>
  <c r="G15" i="69"/>
  <c r="G51" i="69" s="1"/>
  <c r="F51" i="69"/>
  <c r="A23" i="37"/>
  <c r="A57" i="37"/>
  <c r="A23" i="31"/>
  <c r="A58" i="31"/>
  <c r="A26" i="26"/>
  <c r="A61" i="26"/>
  <c r="G49" i="65"/>
  <c r="P13" i="65"/>
  <c r="C26" i="52"/>
  <c r="F25" i="52"/>
  <c r="H25" i="52" s="1"/>
  <c r="E25" i="52"/>
  <c r="F20" i="53"/>
  <c r="E56" i="53"/>
  <c r="C12" i="31"/>
  <c r="E48" i="27"/>
  <c r="E26" i="66"/>
  <c r="I26" i="66" s="1"/>
  <c r="C26" i="66"/>
  <c r="D26" i="66"/>
  <c r="H26" i="66" s="1"/>
  <c r="A27" i="66"/>
  <c r="F18" i="67"/>
  <c r="F54" i="67" s="1"/>
  <c r="D54" i="67"/>
  <c r="E18" i="67"/>
  <c r="A61" i="56"/>
  <c r="A26" i="56"/>
  <c r="I14" i="70"/>
  <c r="G50" i="70"/>
  <c r="F85" i="59"/>
  <c r="F40" i="59"/>
  <c r="E47" i="37"/>
  <c r="F12" i="37"/>
  <c r="C57" i="53"/>
  <c r="E21" i="53"/>
  <c r="B25" i="63"/>
  <c r="B60" i="63"/>
  <c r="B64" i="71"/>
  <c r="B30" i="71"/>
  <c r="C49" i="27"/>
  <c r="E13" i="27"/>
  <c r="A23" i="55"/>
  <c r="A58" i="55"/>
  <c r="O13" i="65"/>
  <c r="O49" i="65" s="1"/>
  <c r="F49" i="65"/>
  <c r="I49" i="70"/>
  <c r="J13" i="70"/>
  <c r="J49" i="70" s="1"/>
  <c r="E12" i="62"/>
  <c r="C48" i="62"/>
  <c r="D17" i="61"/>
  <c r="G17" i="26"/>
  <c r="E53" i="26"/>
  <c r="B25" i="56"/>
  <c r="B60" i="56"/>
  <c r="F11" i="64"/>
  <c r="C47" i="64"/>
  <c r="C55" i="60"/>
  <c r="F20" i="60"/>
  <c r="E49" i="63"/>
  <c r="F13" i="63"/>
  <c r="F49" i="63" s="1"/>
  <c r="C54" i="55"/>
  <c r="E18" i="55"/>
  <c r="E49" i="65"/>
  <c r="N13" i="65"/>
  <c r="F55" i="53"/>
  <c r="C19" i="55"/>
  <c r="E17" i="69"/>
  <c r="E53" i="69" s="1"/>
  <c r="C53" i="69"/>
  <c r="D17" i="69"/>
  <c r="C57" i="56"/>
  <c r="F21" i="56"/>
  <c r="G51" i="61"/>
  <c r="I15" i="61"/>
  <c r="D19" i="67"/>
  <c r="C18" i="70"/>
  <c r="C18" i="69"/>
  <c r="M76" i="59"/>
  <c r="C19" i="26"/>
  <c r="M31" i="59"/>
  <c r="B23" i="70"/>
  <c r="B58" i="70"/>
  <c r="D49" i="65"/>
  <c r="M13" i="65"/>
  <c r="G15" i="70"/>
  <c r="H15" i="70"/>
  <c r="H51" i="70" s="1"/>
  <c r="F51" i="70"/>
  <c r="D18" i="26"/>
  <c r="E18" i="26"/>
  <c r="C54" i="26"/>
  <c r="A30" i="71"/>
  <c r="A64" i="71"/>
  <c r="D53" i="71"/>
  <c r="E18" i="71"/>
  <c r="E53" i="71" s="1"/>
  <c r="C52" i="61"/>
  <c r="G16" i="61"/>
  <c r="E36" i="59"/>
  <c r="E81" i="59"/>
  <c r="C50" i="63"/>
  <c r="E14" i="63"/>
  <c r="F46" i="64"/>
  <c r="G10" i="64"/>
  <c r="F45" i="31"/>
  <c r="D12" i="64"/>
  <c r="D48" i="64" s="1"/>
  <c r="N48" i="65"/>
  <c r="F17" i="55"/>
  <c r="F53" i="55" s="1"/>
  <c r="E53" i="55"/>
  <c r="B24" i="61"/>
  <c r="B59" i="61"/>
  <c r="B23" i="69"/>
  <c r="B58" i="69"/>
  <c r="B25" i="55"/>
  <c r="B60" i="55"/>
  <c r="C48" i="37"/>
  <c r="E13" i="37"/>
  <c r="G25" i="66"/>
  <c r="F25" i="66"/>
  <c r="J25" i="66" s="1"/>
  <c r="B28" i="39"/>
  <c r="J27" i="39"/>
  <c r="J64" i="39" s="1"/>
  <c r="J101" i="39" s="1"/>
  <c r="L27" i="39"/>
  <c r="L64" i="39" s="1"/>
  <c r="L101" i="39" s="1"/>
  <c r="K27" i="39"/>
  <c r="K64" i="39" s="1"/>
  <c r="K101" i="39" s="1"/>
  <c r="C53" i="70"/>
  <c r="D17" i="70"/>
  <c r="E17" i="70"/>
  <c r="E53" i="70" s="1"/>
  <c r="B61" i="26"/>
  <c r="B26" i="26"/>
  <c r="C15" i="63"/>
  <c r="C20" i="71"/>
  <c r="H51" i="26"/>
  <c r="C14" i="27"/>
  <c r="C14" i="37"/>
  <c r="D52" i="61"/>
  <c r="H16" i="61"/>
  <c r="H52" i="61" s="1"/>
  <c r="C15" i="65"/>
  <c r="F52" i="26"/>
  <c r="H16" i="26"/>
  <c r="A62" i="61"/>
  <c r="A27" i="61"/>
  <c r="A59" i="63"/>
  <c r="A24" i="63"/>
  <c r="E52" i="71"/>
  <c r="F16" i="70"/>
  <c r="D52" i="70"/>
  <c r="P48" i="65"/>
  <c r="E12" i="64"/>
  <c r="E48" i="64" s="1"/>
  <c r="A59" i="27"/>
  <c r="A24" i="27"/>
  <c r="F16" i="69"/>
  <c r="D52" i="69"/>
  <c r="I50" i="61"/>
  <c r="C13" i="62"/>
  <c r="C17" i="61"/>
  <c r="D53" i="26"/>
  <c r="F17" i="26"/>
  <c r="G19" i="60"/>
  <c r="G54" i="60" s="1"/>
  <c r="F54" i="60"/>
  <c r="A24" i="69"/>
  <c r="A59" i="69"/>
  <c r="F21" i="54"/>
  <c r="E21" i="54"/>
  <c r="D21" i="60" s="1"/>
  <c r="D56" i="60" s="1"/>
  <c r="D21" i="54"/>
  <c r="C21" i="60" s="1"/>
  <c r="G21" i="54"/>
  <c r="E21" i="60" s="1"/>
  <c r="E56" i="60" s="1"/>
  <c r="B57" i="37"/>
  <c r="B23" i="37"/>
  <c r="A59" i="70"/>
  <c r="A24" i="70"/>
  <c r="D14" i="65"/>
  <c r="E14" i="65"/>
  <c r="C50" i="65"/>
  <c r="G14" i="65"/>
  <c r="F14" i="65"/>
  <c r="G52" i="26"/>
  <c r="H15" i="65"/>
  <c r="F10" i="31"/>
  <c r="F46" i="31" s="1"/>
  <c r="E46" i="31"/>
  <c r="G20" i="56"/>
  <c r="G56" i="56" s="1"/>
  <c r="F56" i="56"/>
  <c r="C12" i="64"/>
  <c r="M48" i="65"/>
  <c r="G17" i="67"/>
  <c r="E53" i="67"/>
  <c r="O14" i="65" l="1"/>
  <c r="O50" i="65" s="1"/>
  <c r="F50" i="65"/>
  <c r="D54" i="71"/>
  <c r="E19" i="71"/>
  <c r="E54" i="71" s="1"/>
  <c r="F53" i="26"/>
  <c r="C16" i="65"/>
  <c r="H17" i="26"/>
  <c r="F26" i="66"/>
  <c r="J26" i="66" s="1"/>
  <c r="G26" i="66"/>
  <c r="C27" i="52"/>
  <c r="E26" i="52"/>
  <c r="F26" i="52"/>
  <c r="H26" i="52" s="1"/>
  <c r="F21" i="60"/>
  <c r="C56" i="60"/>
  <c r="A28" i="61"/>
  <c r="A63" i="61"/>
  <c r="E14" i="37"/>
  <c r="C49" i="37"/>
  <c r="F17" i="70"/>
  <c r="D53" i="70"/>
  <c r="F14" i="63"/>
  <c r="F50" i="63" s="1"/>
  <c r="E50" i="63"/>
  <c r="C13" i="64"/>
  <c r="M49" i="65"/>
  <c r="D18" i="70"/>
  <c r="C54" i="70"/>
  <c r="E18" i="70"/>
  <c r="E54" i="70" s="1"/>
  <c r="G53" i="26"/>
  <c r="H16" i="65"/>
  <c r="F21" i="53"/>
  <c r="E57" i="53"/>
  <c r="A62" i="56"/>
  <c r="A27" i="56"/>
  <c r="P49" i="65"/>
  <c r="E13" i="64"/>
  <c r="E49" i="64" s="1"/>
  <c r="N14" i="65"/>
  <c r="E50" i="65"/>
  <c r="G17" i="61"/>
  <c r="C53" i="61"/>
  <c r="E14" i="27"/>
  <c r="C50" i="27"/>
  <c r="A65" i="71"/>
  <c r="A31" i="71"/>
  <c r="E19" i="67"/>
  <c r="D55" i="67"/>
  <c r="F19" i="67"/>
  <c r="F55" i="67" s="1"/>
  <c r="C55" i="55"/>
  <c r="E19" i="55"/>
  <c r="G20" i="60"/>
  <c r="G55" i="60" s="1"/>
  <c r="F55" i="60"/>
  <c r="D53" i="61"/>
  <c r="H17" i="61"/>
  <c r="H53" i="61" s="1"/>
  <c r="A24" i="55"/>
  <c r="A59" i="55"/>
  <c r="F11" i="31"/>
  <c r="F47" i="31" s="1"/>
  <c r="E47" i="31"/>
  <c r="A25" i="63"/>
  <c r="A60" i="63"/>
  <c r="F17" i="69"/>
  <c r="D53" i="69"/>
  <c r="G50" i="65"/>
  <c r="P14" i="65"/>
  <c r="B60" i="61"/>
  <c r="B25" i="61"/>
  <c r="I50" i="70"/>
  <c r="J14" i="70"/>
  <c r="J50" i="70" s="1"/>
  <c r="A24" i="37"/>
  <c r="A58" i="37"/>
  <c r="C13" i="31"/>
  <c r="E49" i="27"/>
  <c r="C48" i="31"/>
  <c r="E12" i="31"/>
  <c r="D22" i="54"/>
  <c r="C22" i="60" s="1"/>
  <c r="G22" i="54"/>
  <c r="E22" i="60" s="1"/>
  <c r="E57" i="60" s="1"/>
  <c r="F22" i="54"/>
  <c r="E22" i="54"/>
  <c r="D22" i="60" s="1"/>
  <c r="D57" i="60" s="1"/>
  <c r="A60" i="70"/>
  <c r="A25" i="70"/>
  <c r="F52" i="70"/>
  <c r="H16" i="70"/>
  <c r="H52" i="70" s="1"/>
  <c r="G16" i="70"/>
  <c r="C21" i="71"/>
  <c r="C15" i="37"/>
  <c r="C16" i="63"/>
  <c r="H52" i="26"/>
  <c r="C15" i="27"/>
  <c r="D20" i="71"/>
  <c r="C55" i="71"/>
  <c r="B61" i="55"/>
  <c r="B26" i="55"/>
  <c r="E37" i="59"/>
  <c r="E82" i="59"/>
  <c r="D18" i="61"/>
  <c r="E54" i="26"/>
  <c r="G18" i="26"/>
  <c r="B24" i="70"/>
  <c r="B59" i="70"/>
  <c r="D13" i="64"/>
  <c r="D49" i="64" s="1"/>
  <c r="N49" i="65"/>
  <c r="F12" i="62"/>
  <c r="F48" i="62" s="1"/>
  <c r="E48" i="62"/>
  <c r="A62" i="26"/>
  <c r="A27" i="26"/>
  <c r="C58" i="53"/>
  <c r="E22" i="53"/>
  <c r="F47" i="62"/>
  <c r="B61" i="56"/>
  <c r="B26" i="56"/>
  <c r="C48" i="64"/>
  <c r="F12" i="64"/>
  <c r="I15" i="70"/>
  <c r="G51" i="70"/>
  <c r="M14" i="65"/>
  <c r="D50" i="65"/>
  <c r="E13" i="62"/>
  <c r="C49" i="62"/>
  <c r="F47" i="37"/>
  <c r="K15" i="65"/>
  <c r="K51" i="65" s="1"/>
  <c r="I15" i="65"/>
  <c r="I51" i="65" s="1"/>
  <c r="H51" i="65"/>
  <c r="J15" i="65"/>
  <c r="J51" i="65" s="1"/>
  <c r="L15" i="65"/>
  <c r="L51" i="65" s="1"/>
  <c r="A60" i="69"/>
  <c r="A25" i="69"/>
  <c r="E15" i="63"/>
  <c r="C51" i="63"/>
  <c r="G52" i="61"/>
  <c r="I16" i="61"/>
  <c r="D54" i="26"/>
  <c r="C18" i="61"/>
  <c r="F18" i="26"/>
  <c r="C19" i="70"/>
  <c r="D20" i="67"/>
  <c r="C19" i="69"/>
  <c r="M77" i="59"/>
  <c r="C20" i="26"/>
  <c r="M32" i="59"/>
  <c r="G21" i="56"/>
  <c r="G57" i="56" s="1"/>
  <c r="F57" i="56"/>
  <c r="F47" i="64"/>
  <c r="G11" i="64"/>
  <c r="G47" i="64" s="1"/>
  <c r="B31" i="71"/>
  <c r="B65" i="71"/>
  <c r="F41" i="59"/>
  <c r="F86" i="59"/>
  <c r="C20" i="55"/>
  <c r="F56" i="53"/>
  <c r="C58" i="56"/>
  <c r="F22" i="56"/>
  <c r="B26" i="31"/>
  <c r="B61" i="31"/>
  <c r="B25" i="27"/>
  <c r="B60" i="27"/>
  <c r="A25" i="27"/>
  <c r="A60" i="27"/>
  <c r="G46" i="64"/>
  <c r="D18" i="69"/>
  <c r="C54" i="69"/>
  <c r="E18" i="69"/>
  <c r="E54" i="69" s="1"/>
  <c r="B61" i="63"/>
  <c r="B26" i="63"/>
  <c r="F13" i="37"/>
  <c r="F48" i="37" s="1"/>
  <c r="E48" i="37"/>
  <c r="I51" i="61"/>
  <c r="C14" i="62"/>
  <c r="G18" i="67"/>
  <c r="E54" i="67"/>
  <c r="G53" i="67"/>
  <c r="H17" i="67"/>
  <c r="H53" i="67" s="1"/>
  <c r="B24" i="37"/>
  <c r="B58" i="37"/>
  <c r="G16" i="69"/>
  <c r="G52" i="69" s="1"/>
  <c r="F52" i="69"/>
  <c r="D15" i="65"/>
  <c r="C51" i="65"/>
  <c r="E15" i="65"/>
  <c r="G15" i="65"/>
  <c r="F15" i="65"/>
  <c r="B27" i="26"/>
  <c r="B62" i="26"/>
  <c r="B29" i="39"/>
  <c r="K28" i="39"/>
  <c r="K65" i="39" s="1"/>
  <c r="K102" i="39" s="1"/>
  <c r="J28" i="39"/>
  <c r="J65" i="39" s="1"/>
  <c r="J102" i="39" s="1"/>
  <c r="L28" i="39"/>
  <c r="L65" i="39" s="1"/>
  <c r="L102" i="39" s="1"/>
  <c r="B59" i="69"/>
  <c r="B24" i="69"/>
  <c r="D19" i="26"/>
  <c r="E19" i="26"/>
  <c r="C55" i="26"/>
  <c r="F18" i="55"/>
  <c r="F54" i="55" s="1"/>
  <c r="E54" i="55"/>
  <c r="C27" i="66"/>
  <c r="A28" i="66"/>
  <c r="D27" i="66"/>
  <c r="H27" i="66" s="1"/>
  <c r="E27" i="66"/>
  <c r="I27" i="66" s="1"/>
  <c r="C23" i="56"/>
  <c r="C23" i="54"/>
  <c r="C23" i="53"/>
  <c r="A24" i="31"/>
  <c r="A59" i="31"/>
  <c r="D55" i="26" l="1"/>
  <c r="F19" i="26"/>
  <c r="C19" i="61"/>
  <c r="E20" i="67"/>
  <c r="D56" i="67"/>
  <c r="F20" i="67"/>
  <c r="F56" i="67" s="1"/>
  <c r="C14" i="31"/>
  <c r="E50" i="27"/>
  <c r="F51" i="65"/>
  <c r="O15" i="65"/>
  <c r="O51" i="65" s="1"/>
  <c r="D19" i="70"/>
  <c r="C55" i="70"/>
  <c r="E19" i="70"/>
  <c r="E55" i="70" s="1"/>
  <c r="A28" i="26"/>
  <c r="A63" i="26"/>
  <c r="A64" i="61"/>
  <c r="A29" i="61"/>
  <c r="G51" i="65"/>
  <c r="P15" i="65"/>
  <c r="E20" i="55"/>
  <c r="C56" i="55"/>
  <c r="H18" i="26"/>
  <c r="C17" i="65"/>
  <c r="F54" i="26"/>
  <c r="A26" i="70"/>
  <c r="A61" i="70"/>
  <c r="C21" i="55"/>
  <c r="F57" i="53"/>
  <c r="C54" i="61"/>
  <c r="G18" i="61"/>
  <c r="J16" i="65"/>
  <c r="J52" i="65" s="1"/>
  <c r="K16" i="65"/>
  <c r="K52" i="65" s="1"/>
  <c r="H52" i="65"/>
  <c r="L16" i="65"/>
  <c r="L52" i="65" s="1"/>
  <c r="I16" i="65"/>
  <c r="I52" i="65" s="1"/>
  <c r="B26" i="27"/>
  <c r="B61" i="27"/>
  <c r="F42" i="59"/>
  <c r="F87" i="59"/>
  <c r="C20" i="70"/>
  <c r="C21" i="26"/>
  <c r="C20" i="69"/>
  <c r="M33" i="59"/>
  <c r="M78" i="59"/>
  <c r="D21" i="67"/>
  <c r="E49" i="62"/>
  <c r="F13" i="62"/>
  <c r="F49" i="62" s="1"/>
  <c r="E16" i="63"/>
  <c r="C52" i="63"/>
  <c r="E55" i="67"/>
  <c r="G19" i="67"/>
  <c r="D14" i="64"/>
  <c r="D50" i="64" s="1"/>
  <c r="N50" i="65"/>
  <c r="B25" i="69"/>
  <c r="B60" i="69"/>
  <c r="H17" i="65"/>
  <c r="G54" i="26"/>
  <c r="A26" i="69"/>
  <c r="A61" i="69"/>
  <c r="E15" i="27"/>
  <c r="C51" i="27"/>
  <c r="E14" i="64"/>
  <c r="E50" i="64" s="1"/>
  <c r="P50" i="65"/>
  <c r="I17" i="61"/>
  <c r="G53" i="61"/>
  <c r="F16" i="65"/>
  <c r="D16" i="65"/>
  <c r="G16" i="65"/>
  <c r="E16" i="65"/>
  <c r="C52" i="65"/>
  <c r="E51" i="65"/>
  <c r="N15" i="65"/>
  <c r="C49" i="31"/>
  <c r="E13" i="31"/>
  <c r="G21" i="60"/>
  <c r="G56" i="60" s="1"/>
  <c r="F56" i="60"/>
  <c r="E23" i="53"/>
  <c r="C59" i="53"/>
  <c r="D51" i="65"/>
  <c r="M15" i="65"/>
  <c r="H18" i="67"/>
  <c r="H54" i="67" s="1"/>
  <c r="G54" i="67"/>
  <c r="C56" i="26"/>
  <c r="E20" i="26"/>
  <c r="D20" i="26"/>
  <c r="C15" i="62"/>
  <c r="I52" i="61"/>
  <c r="E83" i="59"/>
  <c r="E38" i="59"/>
  <c r="E15" i="37"/>
  <c r="C50" i="37"/>
  <c r="A25" i="37"/>
  <c r="A59" i="37"/>
  <c r="G17" i="69"/>
  <c r="G53" i="69" s="1"/>
  <c r="F53" i="69"/>
  <c r="A32" i="71"/>
  <c r="A66" i="71"/>
  <c r="H17" i="70"/>
  <c r="H53" i="70" s="1"/>
  <c r="F53" i="70"/>
  <c r="G17" i="70"/>
  <c r="C24" i="56"/>
  <c r="C24" i="53"/>
  <c r="C24" i="54"/>
  <c r="B28" i="26"/>
  <c r="B63" i="26"/>
  <c r="B59" i="37"/>
  <c r="B25" i="37"/>
  <c r="D55" i="71"/>
  <c r="E20" i="71"/>
  <c r="E55" i="71" s="1"/>
  <c r="C49" i="64"/>
  <c r="F13" i="64"/>
  <c r="D28" i="66"/>
  <c r="H28" i="66" s="1"/>
  <c r="E28" i="66"/>
  <c r="I28" i="66" s="1"/>
  <c r="A29" i="66"/>
  <c r="C28" i="66"/>
  <c r="A26" i="27"/>
  <c r="A61" i="27"/>
  <c r="H18" i="61"/>
  <c r="H54" i="61" s="1"/>
  <c r="D54" i="61"/>
  <c r="D23" i="54"/>
  <c r="C23" i="60" s="1"/>
  <c r="G23" i="54"/>
  <c r="E23" i="60" s="1"/>
  <c r="E58" i="60" s="1"/>
  <c r="F23" i="54"/>
  <c r="E23" i="54"/>
  <c r="D23" i="60" s="1"/>
  <c r="D58" i="60" s="1"/>
  <c r="B30" i="39"/>
  <c r="K29" i="39"/>
  <c r="K66" i="39" s="1"/>
  <c r="K103" i="39" s="1"/>
  <c r="J29" i="39"/>
  <c r="J66" i="39" s="1"/>
  <c r="J103" i="39" s="1"/>
  <c r="L29" i="39"/>
  <c r="L66" i="39" s="1"/>
  <c r="L103" i="39" s="1"/>
  <c r="C50" i="62"/>
  <c r="E14" i="62"/>
  <c r="F18" i="69"/>
  <c r="D54" i="69"/>
  <c r="B62" i="31"/>
  <c r="B27" i="31"/>
  <c r="B32" i="71"/>
  <c r="B66" i="71"/>
  <c r="C14" i="64"/>
  <c r="M50" i="65"/>
  <c r="B27" i="55"/>
  <c r="B62" i="55"/>
  <c r="C56" i="71"/>
  <c r="D21" i="71"/>
  <c r="E27" i="52"/>
  <c r="C28" i="52"/>
  <c r="F27" i="52"/>
  <c r="H27" i="52" s="1"/>
  <c r="I51" i="70"/>
  <c r="J15" i="70"/>
  <c r="J51" i="70" s="1"/>
  <c r="B60" i="70"/>
  <c r="B25" i="70"/>
  <c r="E48" i="31"/>
  <c r="F12" i="31"/>
  <c r="F48" i="31" s="1"/>
  <c r="B26" i="61"/>
  <c r="B61" i="61"/>
  <c r="E55" i="55"/>
  <c r="F19" i="55"/>
  <c r="F55" i="55" s="1"/>
  <c r="F15" i="63"/>
  <c r="F51" i="63" s="1"/>
  <c r="E51" i="63"/>
  <c r="G12" i="64"/>
  <c r="G48" i="64" s="1"/>
  <c r="F48" i="64"/>
  <c r="C16" i="27"/>
  <c r="H53" i="26"/>
  <c r="C16" i="37"/>
  <c r="C22" i="71"/>
  <c r="C17" i="63"/>
  <c r="B27" i="63"/>
  <c r="B62" i="63"/>
  <c r="F27" i="66"/>
  <c r="J27" i="66" s="1"/>
  <c r="G27" i="66"/>
  <c r="B62" i="56"/>
  <c r="B27" i="56"/>
  <c r="A25" i="55"/>
  <c r="A60" i="55"/>
  <c r="A25" i="31"/>
  <c r="A60" i="31"/>
  <c r="C59" i="56"/>
  <c r="F23" i="56"/>
  <c r="D19" i="61"/>
  <c r="G19" i="26"/>
  <c r="E55" i="26"/>
  <c r="G22" i="56"/>
  <c r="G58" i="56" s="1"/>
  <c r="F58" i="56"/>
  <c r="D19" i="69"/>
  <c r="C55" i="69"/>
  <c r="E19" i="69"/>
  <c r="E55" i="69" s="1"/>
  <c r="E58" i="53"/>
  <c r="F22" i="53"/>
  <c r="G52" i="70"/>
  <c r="I16" i="70"/>
  <c r="C57" i="60"/>
  <c r="F22" i="60"/>
  <c r="A61" i="63"/>
  <c r="A26" i="63"/>
  <c r="A28" i="56"/>
  <c r="A63" i="56"/>
  <c r="F18" i="70"/>
  <c r="D54" i="70"/>
  <c r="F14" i="37"/>
  <c r="F49" i="37" s="1"/>
  <c r="E49" i="37"/>
  <c r="D55" i="61" l="1"/>
  <c r="H19" i="61"/>
  <c r="H55" i="61" s="1"/>
  <c r="C15" i="64"/>
  <c r="M51" i="65"/>
  <c r="J17" i="65"/>
  <c r="J53" i="65" s="1"/>
  <c r="L17" i="65"/>
  <c r="L53" i="65" s="1"/>
  <c r="I17" i="65"/>
  <c r="I53" i="65" s="1"/>
  <c r="K17" i="65"/>
  <c r="K53" i="65" s="1"/>
  <c r="H53" i="65"/>
  <c r="D20" i="70"/>
  <c r="E20" i="70"/>
  <c r="E56" i="70" s="1"/>
  <c r="C56" i="70"/>
  <c r="F59" i="56"/>
  <c r="G23" i="56"/>
  <c r="G59" i="56" s="1"/>
  <c r="E28" i="52"/>
  <c r="F28" i="52"/>
  <c r="H28" i="52" s="1"/>
  <c r="C29" i="52"/>
  <c r="F49" i="64"/>
  <c r="G13" i="64"/>
  <c r="G49" i="64" s="1"/>
  <c r="D17" i="65"/>
  <c r="E17" i="65"/>
  <c r="F17" i="65"/>
  <c r="C53" i="65"/>
  <c r="G17" i="65"/>
  <c r="B33" i="71"/>
  <c r="B67" i="71"/>
  <c r="C23" i="71"/>
  <c r="C17" i="37"/>
  <c r="C18" i="63"/>
  <c r="H54" i="26"/>
  <c r="C17" i="27"/>
  <c r="F57" i="60"/>
  <c r="G22" i="60"/>
  <c r="G57" i="60" s="1"/>
  <c r="E21" i="71"/>
  <c r="E56" i="71" s="1"/>
  <c r="D56" i="71"/>
  <c r="A26" i="31"/>
  <c r="A61" i="31"/>
  <c r="B63" i="63"/>
  <c r="B28" i="63"/>
  <c r="B61" i="70"/>
  <c r="B26" i="70"/>
  <c r="B31" i="39"/>
  <c r="J30" i="39"/>
  <c r="J67" i="39" s="1"/>
  <c r="J104" i="39" s="1"/>
  <c r="K30" i="39"/>
  <c r="K67" i="39" s="1"/>
  <c r="K104" i="39" s="1"/>
  <c r="L30" i="39"/>
  <c r="L67" i="39" s="1"/>
  <c r="L104" i="39" s="1"/>
  <c r="A27" i="27"/>
  <c r="A62" i="27"/>
  <c r="I17" i="70"/>
  <c r="G53" i="70"/>
  <c r="A60" i="37"/>
  <c r="A26" i="37"/>
  <c r="E56" i="26"/>
  <c r="D20" i="61"/>
  <c r="G20" i="26"/>
  <c r="G52" i="65"/>
  <c r="P16" i="65"/>
  <c r="E51" i="27"/>
  <c r="C15" i="31"/>
  <c r="B27" i="27"/>
  <c r="B62" i="27"/>
  <c r="E56" i="55"/>
  <c r="F20" i="55"/>
  <c r="F56" i="55" s="1"/>
  <c r="G20" i="67"/>
  <c r="E56" i="67"/>
  <c r="C58" i="60"/>
  <c r="F23" i="60"/>
  <c r="C52" i="27"/>
  <c r="E16" i="27"/>
  <c r="G24" i="54"/>
  <c r="E24" i="60" s="1"/>
  <c r="E59" i="60" s="1"/>
  <c r="D24" i="54"/>
  <c r="C24" i="60" s="1"/>
  <c r="F24" i="54"/>
  <c r="E24" i="54"/>
  <c r="D24" i="60" s="1"/>
  <c r="D59" i="60" s="1"/>
  <c r="C51" i="62"/>
  <c r="E15" i="62"/>
  <c r="D55" i="69"/>
  <c r="F19" i="69"/>
  <c r="F23" i="53"/>
  <c r="E59" i="53"/>
  <c r="J16" i="70"/>
  <c r="J52" i="70" s="1"/>
  <c r="I52" i="70"/>
  <c r="E17" i="63"/>
  <c r="C53" i="63"/>
  <c r="F28" i="66"/>
  <c r="J28" i="66" s="1"/>
  <c r="G28" i="66"/>
  <c r="B26" i="37"/>
  <c r="B60" i="37"/>
  <c r="D52" i="65"/>
  <c r="M16" i="65"/>
  <c r="H19" i="67"/>
  <c r="H55" i="67" s="1"/>
  <c r="G55" i="67"/>
  <c r="D22" i="67"/>
  <c r="C21" i="69"/>
  <c r="C21" i="70"/>
  <c r="C22" i="26"/>
  <c r="M34" i="59"/>
  <c r="M79" i="59"/>
  <c r="C57" i="55"/>
  <c r="E21" i="55"/>
  <c r="E15" i="64"/>
  <c r="E51" i="64" s="1"/>
  <c r="P51" i="65"/>
  <c r="F19" i="70"/>
  <c r="D55" i="70"/>
  <c r="G19" i="61"/>
  <c r="C55" i="61"/>
  <c r="A64" i="56"/>
  <c r="A29" i="56"/>
  <c r="F14" i="64"/>
  <c r="C50" i="64"/>
  <c r="B64" i="26"/>
  <c r="B29" i="26"/>
  <c r="I53" i="61"/>
  <c r="C16" i="62"/>
  <c r="B27" i="61"/>
  <c r="B62" i="61"/>
  <c r="C50" i="31"/>
  <c r="E14" i="31"/>
  <c r="C25" i="56"/>
  <c r="C25" i="54"/>
  <c r="C25" i="53"/>
  <c r="I18" i="61"/>
  <c r="G54" i="61"/>
  <c r="C60" i="56"/>
  <c r="F24" i="56"/>
  <c r="E52" i="65"/>
  <c r="N16" i="65"/>
  <c r="F21" i="67"/>
  <c r="F57" i="67" s="1"/>
  <c r="D57" i="67"/>
  <c r="E21" i="67"/>
  <c r="H18" i="70"/>
  <c r="H54" i="70" s="1"/>
  <c r="F54" i="70"/>
  <c r="G18" i="70"/>
  <c r="A61" i="55"/>
  <c r="A26" i="55"/>
  <c r="C57" i="71"/>
  <c r="D22" i="71"/>
  <c r="B28" i="55"/>
  <c r="B63" i="55"/>
  <c r="G18" i="69"/>
  <c r="G54" i="69" s="1"/>
  <c r="F54" i="69"/>
  <c r="E29" i="66"/>
  <c r="I29" i="66" s="1"/>
  <c r="A30" i="66"/>
  <c r="D29" i="66"/>
  <c r="H29" i="66" s="1"/>
  <c r="C29" i="66"/>
  <c r="F15" i="37"/>
  <c r="F50" i="37" s="1"/>
  <c r="E50" i="37"/>
  <c r="F13" i="31"/>
  <c r="F49" i="31" s="1"/>
  <c r="E49" i="31"/>
  <c r="O16" i="65"/>
  <c r="O52" i="65" s="1"/>
  <c r="F52" i="65"/>
  <c r="A27" i="69"/>
  <c r="A62" i="69"/>
  <c r="D20" i="69"/>
  <c r="C56" i="69"/>
  <c r="E20" i="69"/>
  <c r="E56" i="69" s="1"/>
  <c r="F55" i="26"/>
  <c r="H19" i="26"/>
  <c r="C18" i="65"/>
  <c r="A33" i="71"/>
  <c r="A67" i="71"/>
  <c r="D15" i="64"/>
  <c r="D51" i="64" s="1"/>
  <c r="N51" i="65"/>
  <c r="F16" i="63"/>
  <c r="F52" i="63" s="1"/>
  <c r="E52" i="63"/>
  <c r="A27" i="63"/>
  <c r="A62" i="63"/>
  <c r="C60" i="53"/>
  <c r="E24" i="53"/>
  <c r="B61" i="69"/>
  <c r="B26" i="69"/>
  <c r="F43" i="59"/>
  <c r="F88" i="59"/>
  <c r="A29" i="26"/>
  <c r="A64" i="26"/>
  <c r="B63" i="31"/>
  <c r="B28" i="31"/>
  <c r="D56" i="26"/>
  <c r="F20" i="26"/>
  <c r="C20" i="61"/>
  <c r="F58" i="53"/>
  <c r="C22" i="55"/>
  <c r="G55" i="26"/>
  <c r="H18" i="65"/>
  <c r="B28" i="56"/>
  <c r="B63" i="56"/>
  <c r="E16" i="37"/>
  <c r="C51" i="37"/>
  <c r="E50" i="62"/>
  <c r="F14" i="62"/>
  <c r="F50" i="62" s="1"/>
  <c r="E39" i="59"/>
  <c r="E84" i="59"/>
  <c r="D21" i="26"/>
  <c r="C57" i="26"/>
  <c r="E21" i="26"/>
  <c r="A27" i="70"/>
  <c r="A62" i="70"/>
  <c r="A65" i="61"/>
  <c r="A30" i="61"/>
  <c r="F20" i="69" l="1"/>
  <c r="D56" i="69"/>
  <c r="C17" i="62"/>
  <c r="I54" i="61"/>
  <c r="C16" i="64"/>
  <c r="M52" i="65"/>
  <c r="P52" i="65"/>
  <c r="E16" i="64"/>
  <c r="E52" i="64" s="1"/>
  <c r="E60" i="53"/>
  <c r="F24" i="53"/>
  <c r="G55" i="61"/>
  <c r="I19" i="61"/>
  <c r="C53" i="27"/>
  <c r="E17" i="27"/>
  <c r="A63" i="69"/>
  <c r="A28" i="69"/>
  <c r="G25" i="54"/>
  <c r="E25" i="60" s="1"/>
  <c r="E60" i="60" s="1"/>
  <c r="F25" i="54"/>
  <c r="E25" i="54"/>
  <c r="D25" i="60" s="1"/>
  <c r="D60" i="60" s="1"/>
  <c r="D25" i="54"/>
  <c r="C25" i="60" s="1"/>
  <c r="E22" i="26"/>
  <c r="C58" i="26"/>
  <c r="D22" i="26"/>
  <c r="F24" i="60"/>
  <c r="C59" i="60"/>
  <c r="H19" i="65"/>
  <c r="G56" i="26"/>
  <c r="A63" i="27"/>
  <c r="A28" i="27"/>
  <c r="O17" i="65"/>
  <c r="O53" i="65" s="1"/>
  <c r="F53" i="65"/>
  <c r="A31" i="61"/>
  <c r="A66" i="61"/>
  <c r="E85" i="59"/>
  <c r="E40" i="59"/>
  <c r="D18" i="65"/>
  <c r="C54" i="65"/>
  <c r="E18" i="65"/>
  <c r="G18" i="65"/>
  <c r="F18" i="65"/>
  <c r="E30" i="66"/>
  <c r="I30" i="66" s="1"/>
  <c r="A31" i="66"/>
  <c r="D30" i="66"/>
  <c r="H30" i="66" s="1"/>
  <c r="C30" i="66"/>
  <c r="A62" i="55"/>
  <c r="A27" i="55"/>
  <c r="D16" i="64"/>
  <c r="D52" i="64" s="1"/>
  <c r="N52" i="65"/>
  <c r="C61" i="56"/>
  <c r="F25" i="56"/>
  <c r="G19" i="70"/>
  <c r="F55" i="70"/>
  <c r="H19" i="70"/>
  <c r="H55" i="70" s="1"/>
  <c r="E21" i="70"/>
  <c r="E57" i="70" s="1"/>
  <c r="D21" i="70"/>
  <c r="C57" i="70"/>
  <c r="B61" i="37"/>
  <c r="B27" i="37"/>
  <c r="C23" i="55"/>
  <c r="F59" i="53"/>
  <c r="D56" i="61"/>
  <c r="H20" i="61"/>
  <c r="H56" i="61" s="1"/>
  <c r="E18" i="63"/>
  <c r="C54" i="63"/>
  <c r="E53" i="65"/>
  <c r="N17" i="65"/>
  <c r="B64" i="56"/>
  <c r="B29" i="56"/>
  <c r="G29" i="66"/>
  <c r="F29" i="66"/>
  <c r="J29" i="66" s="1"/>
  <c r="B30" i="26"/>
  <c r="B65" i="26"/>
  <c r="E22" i="55"/>
  <c r="C58" i="55"/>
  <c r="A63" i="63"/>
  <c r="A28" i="63"/>
  <c r="C18" i="37"/>
  <c r="C19" i="63"/>
  <c r="C24" i="71"/>
  <c r="C18" i="27"/>
  <c r="H55" i="26"/>
  <c r="C57" i="69"/>
  <c r="D21" i="69"/>
  <c r="E21" i="69"/>
  <c r="E57" i="69" s="1"/>
  <c r="C52" i="37"/>
  <c r="E17" i="37"/>
  <c r="M17" i="65"/>
  <c r="D53" i="65"/>
  <c r="I18" i="70"/>
  <c r="G54" i="70"/>
  <c r="G24" i="56"/>
  <c r="G60" i="56" s="1"/>
  <c r="F60" i="56"/>
  <c r="F50" i="64"/>
  <c r="G14" i="64"/>
  <c r="G50" i="64" s="1"/>
  <c r="F22" i="67"/>
  <c r="F58" i="67" s="1"/>
  <c r="E22" i="67"/>
  <c r="D58" i="67"/>
  <c r="B63" i="27"/>
  <c r="B28" i="27"/>
  <c r="A61" i="37"/>
  <c r="A27" i="37"/>
  <c r="D23" i="71"/>
  <c r="C58" i="71"/>
  <c r="C51" i="64"/>
  <c r="F15" i="64"/>
  <c r="E57" i="67"/>
  <c r="G21" i="67"/>
  <c r="P17" i="65"/>
  <c r="G53" i="65"/>
  <c r="L18" i="65"/>
  <c r="L54" i="65" s="1"/>
  <c r="H54" i="65"/>
  <c r="J18" i="65"/>
  <c r="J54" i="65" s="1"/>
  <c r="I18" i="65"/>
  <c r="I54" i="65" s="1"/>
  <c r="K18" i="65"/>
  <c r="K54" i="65" s="1"/>
  <c r="E50" i="31"/>
  <c r="F14" i="31"/>
  <c r="F50" i="31" s="1"/>
  <c r="G19" i="69"/>
  <c r="G55" i="69" s="1"/>
  <c r="F55" i="69"/>
  <c r="A28" i="70"/>
  <c r="A63" i="70"/>
  <c r="G20" i="61"/>
  <c r="C56" i="61"/>
  <c r="F44" i="59"/>
  <c r="F89" i="59"/>
  <c r="A30" i="56"/>
  <c r="A65" i="56"/>
  <c r="E57" i="55"/>
  <c r="F21" i="55"/>
  <c r="F57" i="55" s="1"/>
  <c r="F15" i="62"/>
  <c r="F51" i="62" s="1"/>
  <c r="E51" i="62"/>
  <c r="F58" i="60"/>
  <c r="G23" i="60"/>
  <c r="G58" i="60" s="1"/>
  <c r="E15" i="31"/>
  <c r="C51" i="31"/>
  <c r="B32" i="39"/>
  <c r="K31" i="39"/>
  <c r="K68" i="39" s="1"/>
  <c r="K105" i="39" s="1"/>
  <c r="J31" i="39"/>
  <c r="J68" i="39" s="1"/>
  <c r="J105" i="39" s="1"/>
  <c r="L31" i="39"/>
  <c r="L68" i="39" s="1"/>
  <c r="L105" i="39" s="1"/>
  <c r="F20" i="70"/>
  <c r="D56" i="70"/>
  <c r="B64" i="55"/>
  <c r="B29" i="55"/>
  <c r="E16" i="62"/>
  <c r="C52" i="62"/>
  <c r="I53" i="70"/>
  <c r="J17" i="70"/>
  <c r="J53" i="70" s="1"/>
  <c r="D57" i="26"/>
  <c r="C21" i="61"/>
  <c r="F21" i="26"/>
  <c r="B64" i="31"/>
  <c r="B29" i="31"/>
  <c r="D57" i="71"/>
  <c r="E22" i="71"/>
  <c r="E57" i="71" s="1"/>
  <c r="C61" i="53"/>
  <c r="E25" i="53"/>
  <c r="C22" i="70"/>
  <c r="C22" i="69"/>
  <c r="D23" i="67"/>
  <c r="M80" i="59"/>
  <c r="C23" i="26"/>
  <c r="M35" i="59"/>
  <c r="H20" i="67"/>
  <c r="H56" i="67" s="1"/>
  <c r="G56" i="67"/>
  <c r="B29" i="63"/>
  <c r="B64" i="63"/>
  <c r="C26" i="56"/>
  <c r="C26" i="54"/>
  <c r="C26" i="53"/>
  <c r="A68" i="71"/>
  <c r="A34" i="71"/>
  <c r="A30" i="26"/>
  <c r="A65" i="26"/>
  <c r="C16" i="31"/>
  <c r="E52" i="27"/>
  <c r="A27" i="31"/>
  <c r="A62" i="31"/>
  <c r="D21" i="61"/>
  <c r="G21" i="26"/>
  <c r="E57" i="26"/>
  <c r="E51" i="37"/>
  <c r="F16" i="37"/>
  <c r="F51" i="37" s="1"/>
  <c r="H20" i="26"/>
  <c r="C19" i="65"/>
  <c r="F56" i="26"/>
  <c r="B27" i="69"/>
  <c r="B62" i="69"/>
  <c r="B28" i="61"/>
  <c r="B63" i="61"/>
  <c r="F17" i="63"/>
  <c r="F53" i="63" s="1"/>
  <c r="E53" i="63"/>
  <c r="B27" i="70"/>
  <c r="B62" i="70"/>
  <c r="B34" i="71"/>
  <c r="B68" i="71"/>
  <c r="F29" i="52"/>
  <c r="H29" i="52" s="1"/>
  <c r="C30" i="52"/>
  <c r="E29" i="52"/>
  <c r="D23" i="26" l="1"/>
  <c r="E23" i="26"/>
  <c r="C59" i="26"/>
  <c r="A29" i="69"/>
  <c r="A64" i="69"/>
  <c r="F26" i="54"/>
  <c r="E26" i="54"/>
  <c r="D26" i="60" s="1"/>
  <c r="D61" i="60" s="1"/>
  <c r="G26" i="54"/>
  <c r="E26" i="60" s="1"/>
  <c r="E61" i="60" s="1"/>
  <c r="D26" i="54"/>
  <c r="C26" i="60" s="1"/>
  <c r="D24" i="71"/>
  <c r="C59" i="71"/>
  <c r="D57" i="70"/>
  <c r="F21" i="70"/>
  <c r="E23" i="67"/>
  <c r="F23" i="67"/>
  <c r="F59" i="67" s="1"/>
  <c r="D59" i="67"/>
  <c r="B30" i="55"/>
  <c r="B65" i="55"/>
  <c r="D58" i="71"/>
  <c r="E23" i="71"/>
  <c r="E58" i="71" s="1"/>
  <c r="F17" i="37"/>
  <c r="F52" i="37" s="1"/>
  <c r="E52" i="37"/>
  <c r="C55" i="63"/>
  <c r="E19" i="63"/>
  <c r="A28" i="55"/>
  <c r="A63" i="55"/>
  <c r="E54" i="65"/>
  <c r="N18" i="65"/>
  <c r="C17" i="31"/>
  <c r="E53" i="27"/>
  <c r="C27" i="56"/>
  <c r="C27" i="54"/>
  <c r="C27" i="53"/>
  <c r="C52" i="31"/>
  <c r="E16" i="31"/>
  <c r="E22" i="69"/>
  <c r="E58" i="69" s="1"/>
  <c r="C58" i="69"/>
  <c r="D22" i="69"/>
  <c r="C20" i="65"/>
  <c r="F57" i="26"/>
  <c r="H21" i="26"/>
  <c r="F15" i="31"/>
  <c r="F51" i="31" s="1"/>
  <c r="E51" i="31"/>
  <c r="A66" i="56"/>
  <c r="A31" i="56"/>
  <c r="A28" i="37"/>
  <c r="A62" i="37"/>
  <c r="E18" i="37"/>
  <c r="C53" i="37"/>
  <c r="A29" i="27"/>
  <c r="A64" i="27"/>
  <c r="D22" i="61"/>
  <c r="G22" i="26"/>
  <c r="E58" i="26"/>
  <c r="C52" i="64"/>
  <c r="F16" i="64"/>
  <c r="G22" i="67"/>
  <c r="E58" i="67"/>
  <c r="F54" i="65"/>
  <c r="O18" i="65"/>
  <c r="O54" i="65" s="1"/>
  <c r="A32" i="61"/>
  <c r="A67" i="61"/>
  <c r="B28" i="70"/>
  <c r="B63" i="70"/>
  <c r="A63" i="31"/>
  <c r="A28" i="31"/>
  <c r="B65" i="31"/>
  <c r="B30" i="31"/>
  <c r="A64" i="70"/>
  <c r="A29" i="70"/>
  <c r="C62" i="56"/>
  <c r="F26" i="56"/>
  <c r="B64" i="61"/>
  <c r="B29" i="61"/>
  <c r="A66" i="26"/>
  <c r="A31" i="26"/>
  <c r="F25" i="53"/>
  <c r="E61" i="53"/>
  <c r="G20" i="70"/>
  <c r="H20" i="70"/>
  <c r="H56" i="70" s="1"/>
  <c r="F56" i="70"/>
  <c r="F90" i="59"/>
  <c r="F45" i="59"/>
  <c r="F91" i="59" s="1"/>
  <c r="H21" i="67"/>
  <c r="H57" i="67" s="1"/>
  <c r="G57" i="67"/>
  <c r="B29" i="27"/>
  <c r="B64" i="27"/>
  <c r="D57" i="69"/>
  <c r="F21" i="69"/>
  <c r="E23" i="55"/>
  <c r="C59" i="55"/>
  <c r="I19" i="70"/>
  <c r="G55" i="70"/>
  <c r="E86" i="59"/>
  <c r="E41" i="59"/>
  <c r="E17" i="62"/>
  <c r="C53" i="62"/>
  <c r="C62" i="53"/>
  <c r="E26" i="53"/>
  <c r="F59" i="60"/>
  <c r="G24" i="60"/>
  <c r="G59" i="60" s="1"/>
  <c r="B33" i="39"/>
  <c r="K32" i="39"/>
  <c r="K69" i="39" s="1"/>
  <c r="K106" i="39" s="1"/>
  <c r="J32" i="39"/>
  <c r="J69" i="39" s="1"/>
  <c r="J106" i="39" s="1"/>
  <c r="L32" i="39"/>
  <c r="L69" i="39" s="1"/>
  <c r="L106" i="39" s="1"/>
  <c r="C17" i="64"/>
  <c r="M53" i="65"/>
  <c r="F18" i="63"/>
  <c r="F54" i="63" s="1"/>
  <c r="E54" i="63"/>
  <c r="C22" i="61"/>
  <c r="F22" i="26"/>
  <c r="D58" i="26"/>
  <c r="C58" i="70"/>
  <c r="D22" i="70"/>
  <c r="E22" i="70"/>
  <c r="E58" i="70" s="1"/>
  <c r="G21" i="61"/>
  <c r="C57" i="61"/>
  <c r="E17" i="64"/>
  <c r="E53" i="64" s="1"/>
  <c r="P53" i="65"/>
  <c r="A29" i="63"/>
  <c r="A64" i="63"/>
  <c r="D54" i="65"/>
  <c r="M18" i="65"/>
  <c r="I55" i="61"/>
  <c r="C18" i="62"/>
  <c r="G57" i="26"/>
  <c r="H20" i="65"/>
  <c r="A69" i="71"/>
  <c r="A35" i="71"/>
  <c r="N53" i="65"/>
  <c r="D17" i="64"/>
  <c r="D53" i="64" s="1"/>
  <c r="B28" i="37"/>
  <c r="B62" i="37"/>
  <c r="F61" i="56"/>
  <c r="G25" i="56"/>
  <c r="G61" i="56" s="1"/>
  <c r="C31" i="66"/>
  <c r="A32" i="66"/>
  <c r="D31" i="66"/>
  <c r="H31" i="66" s="1"/>
  <c r="E31" i="66"/>
  <c r="I31" i="66" s="1"/>
  <c r="H55" i="65"/>
  <c r="I19" i="65"/>
  <c r="I55" i="65" s="1"/>
  <c r="J19" i="65"/>
  <c r="J55" i="65" s="1"/>
  <c r="L19" i="65"/>
  <c r="L55" i="65" s="1"/>
  <c r="K19" i="65"/>
  <c r="K55" i="65" s="1"/>
  <c r="C24" i="55"/>
  <c r="F60" i="53"/>
  <c r="E18" i="27"/>
  <c r="C54" i="27"/>
  <c r="C55" i="65"/>
  <c r="E19" i="65"/>
  <c r="D19" i="65"/>
  <c r="G19" i="65"/>
  <c r="F19" i="65"/>
  <c r="E52" i="62"/>
  <c r="F16" i="62"/>
  <c r="F52" i="62" s="1"/>
  <c r="B31" i="26"/>
  <c r="B66" i="26"/>
  <c r="G54" i="65"/>
  <c r="P18" i="65"/>
  <c r="C25" i="71"/>
  <c r="C19" i="37"/>
  <c r="H56" i="26"/>
  <c r="C20" i="63"/>
  <c r="C19" i="27"/>
  <c r="F30" i="52"/>
  <c r="H30" i="52" s="1"/>
  <c r="C31" i="52"/>
  <c r="E30" i="52"/>
  <c r="B65" i="63"/>
  <c r="B30" i="63"/>
  <c r="B30" i="56"/>
  <c r="B65" i="56"/>
  <c r="F30" i="66"/>
  <c r="J30" i="66" s="1"/>
  <c r="G30" i="66"/>
  <c r="C60" i="60"/>
  <c r="F25" i="60"/>
  <c r="B69" i="71"/>
  <c r="B35" i="71"/>
  <c r="B63" i="69"/>
  <c r="B28" i="69"/>
  <c r="D57" i="61"/>
  <c r="H21" i="61"/>
  <c r="H57" i="61" s="1"/>
  <c r="C23" i="69"/>
  <c r="D24" i="67"/>
  <c r="C23" i="70"/>
  <c r="C24" i="26"/>
  <c r="M36" i="59"/>
  <c r="M81" i="59"/>
  <c r="G56" i="61"/>
  <c r="I20" i="61"/>
  <c r="G15" i="64"/>
  <c r="G51" i="64" s="1"/>
  <c r="F51" i="64"/>
  <c r="J18" i="70"/>
  <c r="J54" i="70" s="1"/>
  <c r="I54" i="70"/>
  <c r="E58" i="55"/>
  <c r="F22" i="55"/>
  <c r="F58" i="55" s="1"/>
  <c r="F56" i="69"/>
  <c r="G20" i="69"/>
  <c r="G56" i="69" s="1"/>
  <c r="A65" i="63" l="1"/>
  <c r="A30" i="63"/>
  <c r="F18" i="37"/>
  <c r="F53" i="37" s="1"/>
  <c r="E53" i="37"/>
  <c r="F27" i="54"/>
  <c r="G27" i="54"/>
  <c r="E27" i="60" s="1"/>
  <c r="E62" i="60" s="1"/>
  <c r="D27" i="54"/>
  <c r="C27" i="60" s="1"/>
  <c r="E27" i="54"/>
  <c r="D27" i="60" s="1"/>
  <c r="D62" i="60" s="1"/>
  <c r="F60" i="60"/>
  <c r="G25" i="60"/>
  <c r="G60" i="60" s="1"/>
  <c r="E18" i="64"/>
  <c r="E54" i="64" s="1"/>
  <c r="P54" i="65"/>
  <c r="E42" i="59"/>
  <c r="E87" i="59"/>
  <c r="E31" i="52"/>
  <c r="F31" i="52"/>
  <c r="H31" i="52" s="1"/>
  <c r="C32" i="52"/>
  <c r="C58" i="61"/>
  <c r="G22" i="61"/>
  <c r="K33" i="39"/>
  <c r="K70" i="39" s="1"/>
  <c r="K107" i="39" s="1"/>
  <c r="B34" i="39"/>
  <c r="J33" i="39"/>
  <c r="J70" i="39" s="1"/>
  <c r="J107" i="39" s="1"/>
  <c r="L33" i="39"/>
  <c r="L70" i="39" s="1"/>
  <c r="L107" i="39" s="1"/>
  <c r="B65" i="27"/>
  <c r="B30" i="27"/>
  <c r="A30" i="70"/>
  <c r="A65" i="70"/>
  <c r="A63" i="37"/>
  <c r="A29" i="37"/>
  <c r="D58" i="69"/>
  <c r="F22" i="69"/>
  <c r="E59" i="67"/>
  <c r="G23" i="67"/>
  <c r="C19" i="62"/>
  <c r="I56" i="61"/>
  <c r="E18" i="62"/>
  <c r="C54" i="62"/>
  <c r="C25" i="55"/>
  <c r="F61" i="53"/>
  <c r="A33" i="61"/>
  <c r="A68" i="61"/>
  <c r="G58" i="26"/>
  <c r="H21" i="65"/>
  <c r="A32" i="56"/>
  <c r="A67" i="56"/>
  <c r="C53" i="31"/>
  <c r="E17" i="31"/>
  <c r="F57" i="70"/>
  <c r="H21" i="70"/>
  <c r="H57" i="70" s="1"/>
  <c r="G21" i="70"/>
  <c r="F31" i="66"/>
  <c r="J31" i="66" s="1"/>
  <c r="G31" i="66"/>
  <c r="E24" i="67"/>
  <c r="F24" i="67"/>
  <c r="F60" i="67" s="1"/>
  <c r="D60" i="67"/>
  <c r="D55" i="65"/>
  <c r="M19" i="65"/>
  <c r="J20" i="65"/>
  <c r="J56" i="65" s="1"/>
  <c r="K20" i="65"/>
  <c r="K56" i="65" s="1"/>
  <c r="L20" i="65"/>
  <c r="L56" i="65" s="1"/>
  <c r="H56" i="65"/>
  <c r="I20" i="65"/>
  <c r="I56" i="65" s="1"/>
  <c r="C59" i="69"/>
  <c r="D23" i="69"/>
  <c r="E23" i="69"/>
  <c r="E59" i="69" s="1"/>
  <c r="B67" i="26"/>
  <c r="B32" i="26"/>
  <c r="I55" i="70"/>
  <c r="J19" i="70"/>
  <c r="J55" i="70" s="1"/>
  <c r="B29" i="69"/>
  <c r="B64" i="69"/>
  <c r="E20" i="63"/>
  <c r="C56" i="63"/>
  <c r="C18" i="31"/>
  <c r="E54" i="27"/>
  <c r="C18" i="64"/>
  <c r="M54" i="65"/>
  <c r="E62" i="53"/>
  <c r="F26" i="53"/>
  <c r="E52" i="31"/>
  <c r="F16" i="31"/>
  <c r="F52" i="31" s="1"/>
  <c r="D23" i="70"/>
  <c r="C59" i="70"/>
  <c r="E23" i="70"/>
  <c r="E59" i="70" s="1"/>
  <c r="P19" i="65"/>
  <c r="G55" i="65"/>
  <c r="F17" i="62"/>
  <c r="F53" i="62" s="1"/>
  <c r="E53" i="62"/>
  <c r="G16" i="64"/>
  <c r="G52" i="64" s="1"/>
  <c r="F52" i="64"/>
  <c r="C28" i="53"/>
  <c r="C28" i="56"/>
  <c r="C28" i="54"/>
  <c r="C56" i="65"/>
  <c r="G20" i="65"/>
  <c r="E20" i="65"/>
  <c r="F20" i="65"/>
  <c r="D20" i="65"/>
  <c r="N19" i="65"/>
  <c r="E55" i="65"/>
  <c r="B66" i="31"/>
  <c r="B31" i="31"/>
  <c r="D58" i="61"/>
  <c r="H22" i="61"/>
  <c r="H58" i="61" s="1"/>
  <c r="C24" i="70"/>
  <c r="C24" i="69"/>
  <c r="D25" i="67"/>
  <c r="M37" i="59"/>
  <c r="C25" i="26"/>
  <c r="M82" i="59"/>
  <c r="B66" i="56"/>
  <c r="B31" i="56"/>
  <c r="D58" i="70"/>
  <c r="F22" i="70"/>
  <c r="F17" i="64"/>
  <c r="C53" i="64"/>
  <c r="E59" i="55"/>
  <c r="F23" i="55"/>
  <c r="F59" i="55" s="1"/>
  <c r="B30" i="61"/>
  <c r="B65" i="61"/>
  <c r="A64" i="31"/>
  <c r="A29" i="31"/>
  <c r="A30" i="27"/>
  <c r="A65" i="27"/>
  <c r="E24" i="71"/>
  <c r="E59" i="71" s="1"/>
  <c r="D59" i="71"/>
  <c r="E59" i="26"/>
  <c r="D23" i="61"/>
  <c r="G23" i="26"/>
  <c r="D25" i="71"/>
  <c r="C60" i="71"/>
  <c r="F62" i="56"/>
  <c r="G26" i="56"/>
  <c r="G62" i="56" s="1"/>
  <c r="F19" i="63"/>
  <c r="F55" i="63" s="1"/>
  <c r="E55" i="63"/>
  <c r="H22" i="26"/>
  <c r="C21" i="65"/>
  <c r="F58" i="26"/>
  <c r="G56" i="70"/>
  <c r="I20" i="70"/>
  <c r="B29" i="70"/>
  <c r="B64" i="70"/>
  <c r="F27" i="56"/>
  <c r="C63" i="56"/>
  <c r="C55" i="27"/>
  <c r="E19" i="27"/>
  <c r="B63" i="37"/>
  <c r="B29" i="37"/>
  <c r="G57" i="61"/>
  <c r="I21" i="61"/>
  <c r="A67" i="26"/>
  <c r="A32" i="26"/>
  <c r="D18" i="64"/>
  <c r="D54" i="64" s="1"/>
  <c r="N54" i="65"/>
  <c r="A30" i="69"/>
  <c r="A65" i="69"/>
  <c r="C60" i="26"/>
  <c r="D24" i="26"/>
  <c r="E24" i="26"/>
  <c r="B36" i="71"/>
  <c r="B70" i="71"/>
  <c r="B66" i="63"/>
  <c r="B31" i="63"/>
  <c r="E19" i="37"/>
  <c r="C54" i="37"/>
  <c r="F55" i="65"/>
  <c r="O19" i="65"/>
  <c r="O55" i="65" s="1"/>
  <c r="C60" i="55"/>
  <c r="E24" i="55"/>
  <c r="D32" i="66"/>
  <c r="H32" i="66" s="1"/>
  <c r="A33" i="66"/>
  <c r="C32" i="66"/>
  <c r="E32" i="66"/>
  <c r="I32" i="66" s="1"/>
  <c r="A70" i="71"/>
  <c r="A36" i="71"/>
  <c r="F57" i="69"/>
  <c r="G21" i="69"/>
  <c r="G57" i="69" s="1"/>
  <c r="G58" i="67"/>
  <c r="H22" i="67"/>
  <c r="H58" i="67" s="1"/>
  <c r="C26" i="71"/>
  <c r="C20" i="27"/>
  <c r="H57" i="26"/>
  <c r="C21" i="63"/>
  <c r="C20" i="37"/>
  <c r="C63" i="53"/>
  <c r="E27" i="53"/>
  <c r="A29" i="55"/>
  <c r="A64" i="55"/>
  <c r="B31" i="55"/>
  <c r="B66" i="55"/>
  <c r="C61" i="60"/>
  <c r="F26" i="60"/>
  <c r="C23" i="61"/>
  <c r="F23" i="26"/>
  <c r="D59" i="26"/>
  <c r="D59" i="69" l="1"/>
  <c r="F23" i="69"/>
  <c r="E53" i="31"/>
  <c r="F17" i="31"/>
  <c r="F53" i="31" s="1"/>
  <c r="G22" i="69"/>
  <c r="G58" i="69" s="1"/>
  <c r="F58" i="69"/>
  <c r="B65" i="69"/>
  <c r="B30" i="69"/>
  <c r="E25" i="55"/>
  <c r="C61" i="55"/>
  <c r="B32" i="55"/>
  <c r="B67" i="55"/>
  <c r="E20" i="27"/>
  <c r="C56" i="27"/>
  <c r="B65" i="70"/>
  <c r="B30" i="70"/>
  <c r="E25" i="26"/>
  <c r="C61" i="26"/>
  <c r="D25" i="26"/>
  <c r="E28" i="54"/>
  <c r="D28" i="60" s="1"/>
  <c r="D63" i="60" s="1"/>
  <c r="D28" i="54"/>
  <c r="C28" i="60" s="1"/>
  <c r="G28" i="54"/>
  <c r="E28" i="60" s="1"/>
  <c r="E63" i="60" s="1"/>
  <c r="F28" i="54"/>
  <c r="P55" i="65"/>
  <c r="E19" i="64"/>
  <c r="E55" i="64" s="1"/>
  <c r="E60" i="67"/>
  <c r="G24" i="67"/>
  <c r="A64" i="37"/>
  <c r="A30" i="37"/>
  <c r="B35" i="39"/>
  <c r="K34" i="39"/>
  <c r="K71" i="39" s="1"/>
  <c r="K108" i="39" s="1"/>
  <c r="J34" i="39"/>
  <c r="J71" i="39" s="1"/>
  <c r="J108" i="39" s="1"/>
  <c r="L34" i="39"/>
  <c r="L71" i="39" s="1"/>
  <c r="L108" i="39" s="1"/>
  <c r="E43" i="59"/>
  <c r="E88" i="59"/>
  <c r="G26" i="60"/>
  <c r="G61" i="60" s="1"/>
  <c r="F61" i="60"/>
  <c r="A33" i="26"/>
  <c r="A68" i="26"/>
  <c r="N20" i="65"/>
  <c r="E56" i="65"/>
  <c r="A37" i="71"/>
  <c r="A71" i="71"/>
  <c r="F63" i="56"/>
  <c r="G27" i="56"/>
  <c r="G63" i="56" s="1"/>
  <c r="C29" i="56"/>
  <c r="C29" i="54"/>
  <c r="C29" i="53"/>
  <c r="B67" i="31"/>
  <c r="B32" i="31"/>
  <c r="D26" i="71"/>
  <c r="C61" i="71"/>
  <c r="C25" i="69"/>
  <c r="C25" i="70"/>
  <c r="M38" i="59"/>
  <c r="C26" i="26"/>
  <c r="M83" i="59"/>
  <c r="D26" i="67"/>
  <c r="C64" i="56"/>
  <c r="F28" i="56"/>
  <c r="A68" i="56"/>
  <c r="A33" i="56"/>
  <c r="A69" i="56" s="1"/>
  <c r="A65" i="55"/>
  <c r="A30" i="55"/>
  <c r="C33" i="66"/>
  <c r="D33" i="66"/>
  <c r="H33" i="66" s="1"/>
  <c r="A34" i="66"/>
  <c r="E33" i="66"/>
  <c r="I33" i="66" s="1"/>
  <c r="B32" i="63"/>
  <c r="B67" i="63"/>
  <c r="A31" i="69"/>
  <c r="A66" i="69"/>
  <c r="A31" i="27"/>
  <c r="A66" i="27"/>
  <c r="F53" i="64"/>
  <c r="G17" i="64"/>
  <c r="G53" i="64" s="1"/>
  <c r="E25" i="67"/>
  <c r="F25" i="67"/>
  <c r="F61" i="67" s="1"/>
  <c r="D61" i="67"/>
  <c r="N55" i="65"/>
  <c r="D19" i="64"/>
  <c r="D55" i="64" s="1"/>
  <c r="C64" i="53"/>
  <c r="E28" i="53"/>
  <c r="B68" i="26"/>
  <c r="B33" i="26"/>
  <c r="I21" i="65"/>
  <c r="I57" i="65" s="1"/>
  <c r="K21" i="65"/>
  <c r="K57" i="65" s="1"/>
  <c r="L21" i="65"/>
  <c r="L57" i="65" s="1"/>
  <c r="J21" i="65"/>
  <c r="J57" i="65" s="1"/>
  <c r="H57" i="65"/>
  <c r="I22" i="61"/>
  <c r="G58" i="61"/>
  <c r="C55" i="37"/>
  <c r="E20" i="37"/>
  <c r="H58" i="26"/>
  <c r="C22" i="63"/>
  <c r="C21" i="37"/>
  <c r="C27" i="71"/>
  <c r="C21" i="27"/>
  <c r="F20" i="63"/>
  <c r="F56" i="63" s="1"/>
  <c r="E56" i="63"/>
  <c r="A69" i="61"/>
  <c r="A34" i="61"/>
  <c r="A70" i="61" s="1"/>
  <c r="C57" i="63"/>
  <c r="E21" i="63"/>
  <c r="G24" i="26"/>
  <c r="D24" i="61"/>
  <c r="E60" i="26"/>
  <c r="C26" i="55"/>
  <c r="F62" i="53"/>
  <c r="C62" i="60"/>
  <c r="F27" i="60"/>
  <c r="F24" i="26"/>
  <c r="D60" i="26"/>
  <c r="C24" i="61"/>
  <c r="F19" i="37"/>
  <c r="F54" i="37" s="1"/>
  <c r="E54" i="37"/>
  <c r="B30" i="37"/>
  <c r="B64" i="37"/>
  <c r="F18" i="64"/>
  <c r="C54" i="64"/>
  <c r="F18" i="62"/>
  <c r="F54" i="62" s="1"/>
  <c r="E54" i="62"/>
  <c r="F59" i="26"/>
  <c r="C22" i="65"/>
  <c r="H23" i="26"/>
  <c r="E63" i="53"/>
  <c r="F27" i="53"/>
  <c r="E55" i="27"/>
  <c r="C19" i="31"/>
  <c r="E25" i="71"/>
  <c r="E60" i="71" s="1"/>
  <c r="D60" i="71"/>
  <c r="A65" i="31"/>
  <c r="A30" i="31"/>
  <c r="H22" i="70"/>
  <c r="H58" i="70" s="1"/>
  <c r="F58" i="70"/>
  <c r="G22" i="70"/>
  <c r="E24" i="69"/>
  <c r="E60" i="69" s="1"/>
  <c r="D24" i="69"/>
  <c r="C60" i="69"/>
  <c r="D56" i="65"/>
  <c r="M20" i="65"/>
  <c r="F23" i="70"/>
  <c r="D59" i="70"/>
  <c r="E18" i="31"/>
  <c r="C54" i="31"/>
  <c r="G57" i="70"/>
  <c r="I21" i="70"/>
  <c r="C55" i="62"/>
  <c r="E19" i="62"/>
  <c r="A31" i="70"/>
  <c r="A66" i="70"/>
  <c r="A31" i="63"/>
  <c r="A66" i="63"/>
  <c r="B71" i="71"/>
  <c r="B37" i="71"/>
  <c r="D59" i="61"/>
  <c r="H23" i="61"/>
  <c r="H59" i="61" s="1"/>
  <c r="B67" i="56"/>
  <c r="B32" i="56"/>
  <c r="B31" i="61"/>
  <c r="B66" i="61"/>
  <c r="G56" i="65"/>
  <c r="P20" i="65"/>
  <c r="I57" i="61"/>
  <c r="C20" i="62"/>
  <c r="G32" i="66"/>
  <c r="F32" i="66"/>
  <c r="J32" i="66" s="1"/>
  <c r="I56" i="70"/>
  <c r="J20" i="70"/>
  <c r="J56" i="70" s="1"/>
  <c r="G23" i="61"/>
  <c r="C59" i="61"/>
  <c r="E60" i="55"/>
  <c r="F24" i="55"/>
  <c r="F60" i="55" s="1"/>
  <c r="E21" i="65"/>
  <c r="C57" i="65"/>
  <c r="G21" i="65"/>
  <c r="D21" i="65"/>
  <c r="F21" i="65"/>
  <c r="H22" i="65"/>
  <c r="G59" i="26"/>
  <c r="E24" i="70"/>
  <c r="E60" i="70" s="1"/>
  <c r="D24" i="70"/>
  <c r="C60" i="70"/>
  <c r="F56" i="65"/>
  <c r="O20" i="65"/>
  <c r="O56" i="65" s="1"/>
  <c r="M55" i="65"/>
  <c r="C19" i="64"/>
  <c r="H23" i="67"/>
  <c r="H59" i="67" s="1"/>
  <c r="G59" i="67"/>
  <c r="B31" i="27"/>
  <c r="B66" i="27"/>
  <c r="C33" i="52"/>
  <c r="E32" i="52"/>
  <c r="F32" i="52"/>
  <c r="H32" i="52" s="1"/>
  <c r="G18" i="64" l="1"/>
  <c r="G54" i="64" s="1"/>
  <c r="F54" i="64"/>
  <c r="E22" i="63"/>
  <c r="C58" i="63"/>
  <c r="C65" i="53"/>
  <c r="E29" i="53"/>
  <c r="B66" i="70"/>
  <c r="B31" i="70"/>
  <c r="E57" i="65"/>
  <c r="N21" i="65"/>
  <c r="D27" i="67"/>
  <c r="C26" i="70"/>
  <c r="C26" i="69"/>
  <c r="M84" i="59"/>
  <c r="M39" i="59"/>
  <c r="C27" i="26"/>
  <c r="C28" i="71"/>
  <c r="C22" i="37"/>
  <c r="C23" i="63"/>
  <c r="H59" i="26"/>
  <c r="C22" i="27"/>
  <c r="B65" i="37"/>
  <c r="B31" i="37"/>
  <c r="E55" i="37"/>
  <c r="F20" i="37"/>
  <c r="F55" i="37" s="1"/>
  <c r="D25" i="70"/>
  <c r="C61" i="70"/>
  <c r="E25" i="70"/>
  <c r="E61" i="70" s="1"/>
  <c r="C65" i="56"/>
  <c r="F29" i="56"/>
  <c r="A69" i="26"/>
  <c r="A34" i="26"/>
  <c r="A70" i="26" s="1"/>
  <c r="J35" i="39"/>
  <c r="L35" i="39"/>
  <c r="K35" i="39"/>
  <c r="D22" i="65"/>
  <c r="G22" i="65"/>
  <c r="F22" i="65"/>
  <c r="C58" i="65"/>
  <c r="E22" i="65"/>
  <c r="C62" i="55"/>
  <c r="E26" i="55"/>
  <c r="B34" i="26"/>
  <c r="B70" i="26" s="1"/>
  <c r="B69" i="26"/>
  <c r="G25" i="67"/>
  <c r="E61" i="67"/>
  <c r="B33" i="63"/>
  <c r="B68" i="63"/>
  <c r="D25" i="69"/>
  <c r="E25" i="69"/>
  <c r="E61" i="69" s="1"/>
  <c r="C61" i="69"/>
  <c r="A31" i="37"/>
  <c r="A65" i="37"/>
  <c r="C63" i="60"/>
  <c r="F28" i="60"/>
  <c r="E56" i="27"/>
  <c r="C20" i="31"/>
  <c r="D26" i="26"/>
  <c r="C62" i="26"/>
  <c r="E26" i="26"/>
  <c r="D20" i="64"/>
  <c r="D56" i="64" s="1"/>
  <c r="N56" i="65"/>
  <c r="B67" i="27"/>
  <c r="B32" i="27"/>
  <c r="A67" i="70"/>
  <c r="A32" i="70"/>
  <c r="A31" i="31"/>
  <c r="A66" i="31"/>
  <c r="I57" i="70"/>
  <c r="J21" i="70"/>
  <c r="J57" i="70" s="1"/>
  <c r="F57" i="65"/>
  <c r="O21" i="65"/>
  <c r="O57" i="65" s="1"/>
  <c r="I23" i="61"/>
  <c r="G59" i="61"/>
  <c r="F24" i="69"/>
  <c r="D60" i="69"/>
  <c r="C60" i="61"/>
  <c r="G24" i="61"/>
  <c r="D60" i="61"/>
  <c r="H24" i="61"/>
  <c r="H60" i="61" s="1"/>
  <c r="C57" i="27"/>
  <c r="E21" i="27"/>
  <c r="I58" i="61"/>
  <c r="C21" i="62"/>
  <c r="F28" i="53"/>
  <c r="E64" i="53"/>
  <c r="E34" i="66"/>
  <c r="I34" i="66" s="1"/>
  <c r="C34" i="66"/>
  <c r="A35" i="66"/>
  <c r="D34" i="66"/>
  <c r="H34" i="66" s="1"/>
  <c r="D61" i="71"/>
  <c r="E26" i="71"/>
  <c r="E61" i="71" s="1"/>
  <c r="H24" i="67"/>
  <c r="H60" i="67" s="1"/>
  <c r="G60" i="67"/>
  <c r="C25" i="61"/>
  <c r="F25" i="26"/>
  <c r="D61" i="26"/>
  <c r="B33" i="55"/>
  <c r="B69" i="55" s="1"/>
  <c r="B68" i="55"/>
  <c r="B68" i="56"/>
  <c r="B33" i="56"/>
  <c r="B69" i="56" s="1"/>
  <c r="G27" i="60"/>
  <c r="G62" i="60" s="1"/>
  <c r="F62" i="60"/>
  <c r="H23" i="70"/>
  <c r="H59" i="70" s="1"/>
  <c r="F59" i="70"/>
  <c r="G23" i="70"/>
  <c r="C20" i="64"/>
  <c r="M56" i="65"/>
  <c r="L22" i="65"/>
  <c r="L58" i="65" s="1"/>
  <c r="I22" i="65"/>
  <c r="I58" i="65" s="1"/>
  <c r="J22" i="65"/>
  <c r="J58" i="65" s="1"/>
  <c r="H58" i="65"/>
  <c r="K22" i="65"/>
  <c r="K58" i="65" s="1"/>
  <c r="B38" i="71"/>
  <c r="B72" i="71"/>
  <c r="C30" i="56"/>
  <c r="C30" i="53"/>
  <c r="C30" i="54"/>
  <c r="M21" i="65"/>
  <c r="D57" i="65"/>
  <c r="E19" i="31"/>
  <c r="C55" i="31"/>
  <c r="H23" i="65"/>
  <c r="G60" i="26"/>
  <c r="D27" i="71"/>
  <c r="C62" i="71"/>
  <c r="F26" i="67"/>
  <c r="F62" i="67" s="1"/>
  <c r="D62" i="67"/>
  <c r="E26" i="67"/>
  <c r="B68" i="31"/>
  <c r="B33" i="31"/>
  <c r="B69" i="31" s="1"/>
  <c r="A38" i="71"/>
  <c r="A72" i="71"/>
  <c r="E89" i="59"/>
  <c r="E44" i="59"/>
  <c r="F59" i="69"/>
  <c r="G23" i="69"/>
  <c r="G59" i="69" s="1"/>
  <c r="C27" i="55"/>
  <c r="F63" i="53"/>
  <c r="A31" i="55"/>
  <c r="A66" i="55"/>
  <c r="B66" i="69"/>
  <c r="B31" i="69"/>
  <c r="D60" i="70"/>
  <c r="F24" i="70"/>
  <c r="A32" i="69"/>
  <c r="A67" i="69"/>
  <c r="G29" i="54"/>
  <c r="E29" i="60" s="1"/>
  <c r="E64" i="60" s="1"/>
  <c r="F29" i="54"/>
  <c r="E29" i="54"/>
  <c r="D29" i="60" s="1"/>
  <c r="D64" i="60" s="1"/>
  <c r="D29" i="54"/>
  <c r="C29" i="60" s="1"/>
  <c r="E20" i="62"/>
  <c r="C56" i="62"/>
  <c r="E55" i="62"/>
  <c r="F19" i="62"/>
  <c r="F55" i="62" s="1"/>
  <c r="F19" i="64"/>
  <c r="C55" i="64"/>
  <c r="P56" i="65"/>
  <c r="E20" i="64"/>
  <c r="E56" i="64" s="1"/>
  <c r="F64" i="56"/>
  <c r="G28" i="56"/>
  <c r="G64" i="56" s="1"/>
  <c r="C34" i="52"/>
  <c r="F33" i="52"/>
  <c r="H33" i="52" s="1"/>
  <c r="E33" i="52"/>
  <c r="P21" i="65"/>
  <c r="G57" i="65"/>
  <c r="B32" i="61"/>
  <c r="B67" i="61"/>
  <c r="A67" i="63"/>
  <c r="A32" i="63"/>
  <c r="F18" i="31"/>
  <c r="F54" i="31" s="1"/>
  <c r="E54" i="31"/>
  <c r="I22" i="70"/>
  <c r="G58" i="70"/>
  <c r="F60" i="26"/>
  <c r="H24" i="26"/>
  <c r="C23" i="65"/>
  <c r="F21" i="63"/>
  <c r="F57" i="63" s="1"/>
  <c r="E57" i="63"/>
  <c r="E21" i="37"/>
  <c r="C56" i="37"/>
  <c r="A67" i="27"/>
  <c r="A32" i="27"/>
  <c r="G33" i="66"/>
  <c r="F33" i="66"/>
  <c r="J33" i="66" s="1"/>
  <c r="D25" i="61"/>
  <c r="G25" i="26"/>
  <c r="E61" i="26"/>
  <c r="E61" i="55"/>
  <c r="F25" i="55"/>
  <c r="F61" i="55" s="1"/>
  <c r="C24" i="63" l="1"/>
  <c r="C23" i="27"/>
  <c r="H60" i="26"/>
  <c r="C23" i="37"/>
  <c r="C29" i="71"/>
  <c r="F20" i="62"/>
  <c r="F56" i="62" s="1"/>
  <c r="E56" i="62"/>
  <c r="N22" i="65"/>
  <c r="E58" i="65"/>
  <c r="D27" i="26"/>
  <c r="E27" i="26"/>
  <c r="C63" i="26"/>
  <c r="B68" i="61"/>
  <c r="B33" i="61"/>
  <c r="B32" i="69"/>
  <c r="B67" i="69"/>
  <c r="C61" i="61"/>
  <c r="G25" i="61"/>
  <c r="G28" i="60"/>
  <c r="G63" i="60" s="1"/>
  <c r="F63" i="60"/>
  <c r="B32" i="37"/>
  <c r="B66" i="37"/>
  <c r="G30" i="54"/>
  <c r="E30" i="60" s="1"/>
  <c r="E65" i="60" s="1"/>
  <c r="E30" i="54"/>
  <c r="D30" i="60" s="1"/>
  <c r="D65" i="60" s="1"/>
  <c r="D30" i="54"/>
  <c r="C30" i="60" s="1"/>
  <c r="F30" i="54"/>
  <c r="G60" i="61"/>
  <c r="I24" i="61"/>
  <c r="O22" i="65"/>
  <c r="O58" i="65" s="1"/>
  <c r="F58" i="65"/>
  <c r="G29" i="56"/>
  <c r="G65" i="56" s="1"/>
  <c r="F65" i="56"/>
  <c r="F29" i="53"/>
  <c r="E65" i="53"/>
  <c r="J22" i="70"/>
  <c r="J58" i="70" s="1"/>
  <c r="I58" i="70"/>
  <c r="E21" i="64"/>
  <c r="E57" i="64" s="1"/>
  <c r="P57" i="65"/>
  <c r="E27" i="71"/>
  <c r="E62" i="71" s="1"/>
  <c r="D62" i="71"/>
  <c r="E30" i="53"/>
  <c r="C66" i="53"/>
  <c r="C28" i="55"/>
  <c r="F64" i="53"/>
  <c r="H25" i="67"/>
  <c r="H61" i="67" s="1"/>
  <c r="G61" i="67"/>
  <c r="G58" i="65"/>
  <c r="P22" i="65"/>
  <c r="C58" i="27"/>
  <c r="E22" i="27"/>
  <c r="C62" i="69"/>
  <c r="D26" i="69"/>
  <c r="E26" i="69"/>
  <c r="E62" i="69" s="1"/>
  <c r="G34" i="66"/>
  <c r="F34" i="66"/>
  <c r="J34" i="66" s="1"/>
  <c r="B33" i="27"/>
  <c r="B69" i="27" s="1"/>
  <c r="B68" i="27"/>
  <c r="C64" i="60"/>
  <c r="F29" i="60"/>
  <c r="C21" i="64"/>
  <c r="M57" i="65"/>
  <c r="C27" i="70"/>
  <c r="D28" i="67"/>
  <c r="M85" i="59"/>
  <c r="C27" i="69"/>
  <c r="M40" i="59"/>
  <c r="C28" i="26"/>
  <c r="F21" i="37"/>
  <c r="F56" i="37" s="1"/>
  <c r="E56" i="37"/>
  <c r="C31" i="56"/>
  <c r="C31" i="54"/>
  <c r="C31" i="53"/>
  <c r="A67" i="55"/>
  <c r="A32" i="55"/>
  <c r="C57" i="62"/>
  <c r="E21" i="62"/>
  <c r="G61" i="26"/>
  <c r="H24" i="65"/>
  <c r="H59" i="65"/>
  <c r="L23" i="65"/>
  <c r="L59" i="65" s="1"/>
  <c r="J23" i="65"/>
  <c r="J59" i="65" s="1"/>
  <c r="I23" i="65"/>
  <c r="I59" i="65" s="1"/>
  <c r="K23" i="65"/>
  <c r="K59" i="65" s="1"/>
  <c r="C56" i="64"/>
  <c r="F20" i="64"/>
  <c r="F60" i="69"/>
  <c r="G24" i="69"/>
  <c r="G60" i="69" s="1"/>
  <c r="A67" i="31"/>
  <c r="A32" i="31"/>
  <c r="K72" i="39"/>
  <c r="K109" i="39" s="1"/>
  <c r="K36" i="39"/>
  <c r="C59" i="63"/>
  <c r="E23" i="63"/>
  <c r="F27" i="67"/>
  <c r="F63" i="67" s="1"/>
  <c r="E27" i="67"/>
  <c r="D63" i="67"/>
  <c r="F22" i="63"/>
  <c r="F58" i="63" s="1"/>
  <c r="E58" i="63"/>
  <c r="B32" i="70"/>
  <c r="B67" i="70"/>
  <c r="A33" i="27"/>
  <c r="A69" i="27" s="1"/>
  <c r="A68" i="27"/>
  <c r="F55" i="64"/>
  <c r="G19" i="64"/>
  <c r="G55" i="64" s="1"/>
  <c r="A73" i="71"/>
  <c r="A39" i="71"/>
  <c r="A74" i="71" s="1"/>
  <c r="C66" i="56"/>
  <c r="F30" i="56"/>
  <c r="A32" i="37"/>
  <c r="A66" i="37"/>
  <c r="D58" i="65"/>
  <c r="M22" i="65"/>
  <c r="D61" i="61"/>
  <c r="H25" i="61"/>
  <c r="H61" i="61" s="1"/>
  <c r="A33" i="63"/>
  <c r="A68" i="63"/>
  <c r="F34" i="52"/>
  <c r="H34" i="52" s="1"/>
  <c r="E34" i="52"/>
  <c r="C35" i="52"/>
  <c r="C36" i="52"/>
  <c r="A68" i="69"/>
  <c r="A33" i="69"/>
  <c r="A69" i="69" s="1"/>
  <c r="E27" i="55"/>
  <c r="C63" i="55"/>
  <c r="B39" i="71"/>
  <c r="B74" i="71" s="1"/>
  <c r="B73" i="71"/>
  <c r="I23" i="70"/>
  <c r="G59" i="70"/>
  <c r="E57" i="27"/>
  <c r="C21" i="31"/>
  <c r="A33" i="70"/>
  <c r="A69" i="70" s="1"/>
  <c r="A68" i="70"/>
  <c r="D62" i="26"/>
  <c r="F26" i="26"/>
  <c r="C26" i="61"/>
  <c r="E62" i="55"/>
  <c r="F26" i="55"/>
  <c r="F62" i="55" s="1"/>
  <c r="L72" i="39"/>
  <c r="L109" i="39" s="1"/>
  <c r="L36" i="39"/>
  <c r="D61" i="70"/>
  <c r="F25" i="70"/>
  <c r="E22" i="37"/>
  <c r="C57" i="37"/>
  <c r="D21" i="64"/>
  <c r="D57" i="64" s="1"/>
  <c r="N57" i="65"/>
  <c r="F61" i="26"/>
  <c r="C24" i="65"/>
  <c r="H25" i="26"/>
  <c r="E45" i="59"/>
  <c r="E91" i="59" s="1"/>
  <c r="E90" i="59"/>
  <c r="B69" i="63"/>
  <c r="B34" i="63"/>
  <c r="B70" i="63" s="1"/>
  <c r="D26" i="61"/>
  <c r="E62" i="26"/>
  <c r="G26" i="26"/>
  <c r="E26" i="70"/>
  <c r="E62" i="70" s="1"/>
  <c r="C62" i="70"/>
  <c r="D26" i="70"/>
  <c r="G23" i="65"/>
  <c r="D23" i="65"/>
  <c r="E23" i="65"/>
  <c r="F23" i="65"/>
  <c r="C59" i="65"/>
  <c r="G24" i="70"/>
  <c r="H24" i="70"/>
  <c r="H60" i="70" s="1"/>
  <c r="F60" i="70"/>
  <c r="E62" i="67"/>
  <c r="G26" i="67"/>
  <c r="E55" i="31"/>
  <c r="F19" i="31"/>
  <c r="F55" i="31" s="1"/>
  <c r="C35" i="66"/>
  <c r="A36" i="66"/>
  <c r="D35" i="66"/>
  <c r="H35" i="66" s="1"/>
  <c r="E35" i="66"/>
  <c r="I35" i="66" s="1"/>
  <c r="C22" i="62"/>
  <c r="I59" i="61"/>
  <c r="E20" i="31"/>
  <c r="C56" i="31"/>
  <c r="F25" i="69"/>
  <c r="D61" i="69"/>
  <c r="J72" i="39"/>
  <c r="J109" i="39" s="1"/>
  <c r="J36" i="39"/>
  <c r="D28" i="71"/>
  <c r="C63" i="71"/>
  <c r="C67" i="53" l="1"/>
  <c r="E31" i="53"/>
  <c r="P23" i="65"/>
  <c r="G59" i="65"/>
  <c r="I59" i="70"/>
  <c r="J23" i="70"/>
  <c r="J59" i="70" s="1"/>
  <c r="D31" i="54"/>
  <c r="C31" i="60" s="1"/>
  <c r="G31" i="54"/>
  <c r="E31" i="60" s="1"/>
  <c r="E66" i="60" s="1"/>
  <c r="F31" i="54"/>
  <c r="E31" i="54"/>
  <c r="D31" i="60" s="1"/>
  <c r="D66" i="60" s="1"/>
  <c r="B68" i="69"/>
  <c r="B33" i="69"/>
  <c r="B69" i="69" s="1"/>
  <c r="F26" i="70"/>
  <c r="D62" i="70"/>
  <c r="H26" i="26"/>
  <c r="C25" i="65"/>
  <c r="F62" i="26"/>
  <c r="J24" i="65"/>
  <c r="J60" i="65" s="1"/>
  <c r="L24" i="65"/>
  <c r="L60" i="65" s="1"/>
  <c r="H60" i="65"/>
  <c r="K24" i="65"/>
  <c r="K60" i="65" s="1"/>
  <c r="I24" i="65"/>
  <c r="I60" i="65" s="1"/>
  <c r="C67" i="56"/>
  <c r="F31" i="56"/>
  <c r="C63" i="70"/>
  <c r="D27" i="70"/>
  <c r="E27" i="70"/>
  <c r="E63" i="70" s="1"/>
  <c r="B34" i="61"/>
  <c r="B70" i="61" s="1"/>
  <c r="B69" i="61"/>
  <c r="F61" i="70"/>
  <c r="G25" i="70"/>
  <c r="H25" i="70"/>
  <c r="H61" i="70" s="1"/>
  <c r="A33" i="37"/>
  <c r="A68" i="37" s="1"/>
  <c r="A67" i="37"/>
  <c r="E59" i="63"/>
  <c r="F23" i="63"/>
  <c r="F59" i="63" s="1"/>
  <c r="G20" i="64"/>
  <c r="G56" i="64" s="1"/>
  <c r="F56" i="64"/>
  <c r="B67" i="37"/>
  <c r="B33" i="37"/>
  <c r="B68" i="37" s="1"/>
  <c r="C64" i="71"/>
  <c r="D29" i="71"/>
  <c r="H26" i="67"/>
  <c r="H62" i="67" s="1"/>
  <c r="G62" i="67"/>
  <c r="C22" i="64"/>
  <c r="M58" i="65"/>
  <c r="P58" i="65"/>
  <c r="E22" i="64"/>
  <c r="E58" i="64" s="1"/>
  <c r="D22" i="64"/>
  <c r="D58" i="64" s="1"/>
  <c r="N58" i="65"/>
  <c r="E22" i="62"/>
  <c r="C58" i="62"/>
  <c r="E35" i="52"/>
  <c r="F35" i="52"/>
  <c r="H35" i="52" s="1"/>
  <c r="C32" i="53"/>
  <c r="C32" i="54"/>
  <c r="C32" i="56"/>
  <c r="E36" i="52"/>
  <c r="I24" i="70"/>
  <c r="G60" i="70"/>
  <c r="C23" i="62"/>
  <c r="I60" i="61"/>
  <c r="C58" i="37"/>
  <c r="E23" i="37"/>
  <c r="G25" i="69"/>
  <c r="G61" i="69" s="1"/>
  <c r="F61" i="69"/>
  <c r="F35" i="66"/>
  <c r="J35" i="66" s="1"/>
  <c r="G35" i="66"/>
  <c r="G62" i="26"/>
  <c r="H25" i="65"/>
  <c r="D24" i="65"/>
  <c r="G24" i="65"/>
  <c r="E24" i="65"/>
  <c r="F24" i="65"/>
  <c r="C60" i="65"/>
  <c r="L73" i="39"/>
  <c r="L110" i="39" s="1"/>
  <c r="C22" i="38"/>
  <c r="F27" i="55"/>
  <c r="F63" i="55" s="1"/>
  <c r="E63" i="55"/>
  <c r="A69" i="63"/>
  <c r="A34" i="63"/>
  <c r="A70" i="63" s="1"/>
  <c r="B68" i="70"/>
  <c r="B33" i="70"/>
  <c r="B69" i="70" s="1"/>
  <c r="K73" i="39"/>
  <c r="K110" i="39" s="1"/>
  <c r="E28" i="26"/>
  <c r="C64" i="26"/>
  <c r="D28" i="26"/>
  <c r="G29" i="60"/>
  <c r="G64" i="60" s="1"/>
  <c r="F64" i="60"/>
  <c r="E28" i="55"/>
  <c r="C64" i="55"/>
  <c r="E63" i="26"/>
  <c r="D27" i="61"/>
  <c r="G27" i="26"/>
  <c r="D59" i="65"/>
  <c r="M23" i="65"/>
  <c r="D63" i="71"/>
  <c r="E28" i="71"/>
  <c r="E63" i="71" s="1"/>
  <c r="G27" i="67"/>
  <c r="E63" i="67"/>
  <c r="F28" i="67"/>
  <c r="F64" i="67" s="1"/>
  <c r="E28" i="67"/>
  <c r="D64" i="67"/>
  <c r="J73" i="39"/>
  <c r="J110" i="39" s="1"/>
  <c r="F22" i="37"/>
  <c r="F57" i="37" s="1"/>
  <c r="E57" i="37"/>
  <c r="D36" i="66"/>
  <c r="H36" i="66" s="1"/>
  <c r="E36" i="66"/>
  <c r="I36" i="66" s="1"/>
  <c r="D26" i="38" s="1"/>
  <c r="C36" i="66"/>
  <c r="F66" i="56"/>
  <c r="G30" i="56"/>
  <c r="G66" i="56" s="1"/>
  <c r="E57" i="62"/>
  <c r="F21" i="62"/>
  <c r="F57" i="62" s="1"/>
  <c r="D62" i="69"/>
  <c r="F26" i="69"/>
  <c r="F59" i="65"/>
  <c r="O23" i="65"/>
  <c r="O59" i="65" s="1"/>
  <c r="C57" i="31"/>
  <c r="E21" i="31"/>
  <c r="A33" i="55"/>
  <c r="A69" i="55" s="1"/>
  <c r="A68" i="55"/>
  <c r="C28" i="69"/>
  <c r="D29" i="67"/>
  <c r="C29" i="26"/>
  <c r="M41" i="59"/>
  <c r="M86" i="59"/>
  <c r="C28" i="70"/>
  <c r="C22" i="31"/>
  <c r="E58" i="27"/>
  <c r="G61" i="61"/>
  <c r="I25" i="61"/>
  <c r="C27" i="61"/>
  <c r="D63" i="26"/>
  <c r="F27" i="26"/>
  <c r="C59" i="27"/>
  <c r="E23" i="27"/>
  <c r="G26" i="61"/>
  <c r="C62" i="61"/>
  <c r="C30" i="71"/>
  <c r="C25" i="63"/>
  <c r="H61" i="26"/>
  <c r="C24" i="27"/>
  <c r="C24" i="37"/>
  <c r="F21" i="64"/>
  <c r="C57" i="64"/>
  <c r="F20" i="31"/>
  <c r="F56" i="31" s="1"/>
  <c r="E56" i="31"/>
  <c r="E59" i="65"/>
  <c r="N23" i="65"/>
  <c r="D62" i="61"/>
  <c r="H26" i="61"/>
  <c r="H62" i="61" s="1"/>
  <c r="A33" i="31"/>
  <c r="A69" i="31" s="1"/>
  <c r="A68" i="31"/>
  <c r="E27" i="69"/>
  <c r="E63" i="69" s="1"/>
  <c r="D27" i="69"/>
  <c r="C63" i="69"/>
  <c r="F30" i="53"/>
  <c r="E66" i="53"/>
  <c r="F65" i="53"/>
  <c r="C29" i="55"/>
  <c r="C65" i="60"/>
  <c r="F30" i="60"/>
  <c r="C60" i="63"/>
  <c r="E24" i="63"/>
  <c r="D31" i="38" l="1"/>
  <c r="C28" i="61"/>
  <c r="F28" i="26"/>
  <c r="D64" i="26"/>
  <c r="F25" i="65"/>
  <c r="C61" i="65"/>
  <c r="E25" i="65"/>
  <c r="G25" i="65"/>
  <c r="D25" i="65"/>
  <c r="F66" i="53"/>
  <c r="C30" i="55"/>
  <c r="C29" i="70"/>
  <c r="C29" i="69"/>
  <c r="D30" i="67"/>
  <c r="M42" i="59"/>
  <c r="M87" i="59"/>
  <c r="C30" i="26"/>
  <c r="F36" i="66"/>
  <c r="J36" i="66" s="1"/>
  <c r="C6" i="38" s="1"/>
  <c r="I6" i="38" s="1"/>
  <c r="G36" i="66"/>
  <c r="D27" i="38" s="1"/>
  <c r="D32" i="38" s="1"/>
  <c r="E32" i="53"/>
  <c r="C68" i="53"/>
  <c r="G61" i="70"/>
  <c r="I25" i="70"/>
  <c r="C61" i="63"/>
  <c r="E25" i="63"/>
  <c r="C63" i="61"/>
  <c r="G27" i="61"/>
  <c r="D63" i="61"/>
  <c r="H27" i="61"/>
  <c r="H63" i="61" s="1"/>
  <c r="G28" i="26"/>
  <c r="D28" i="61"/>
  <c r="E64" i="26"/>
  <c r="J25" i="65"/>
  <c r="J61" i="65" s="1"/>
  <c r="I25" i="65"/>
  <c r="I61" i="65" s="1"/>
  <c r="K25" i="65"/>
  <c r="K61" i="65" s="1"/>
  <c r="L25" i="65"/>
  <c r="L61" i="65" s="1"/>
  <c r="H61" i="65"/>
  <c r="D63" i="69"/>
  <c r="F27" i="69"/>
  <c r="C65" i="71"/>
  <c r="D30" i="71"/>
  <c r="I61" i="61"/>
  <c r="C24" i="62"/>
  <c r="D65" i="67"/>
  <c r="E29" i="67"/>
  <c r="F29" i="67"/>
  <c r="F65" i="67" s="1"/>
  <c r="F62" i="69"/>
  <c r="G26" i="69"/>
  <c r="G62" i="69" s="1"/>
  <c r="C21" i="38"/>
  <c r="I21" i="38" s="1"/>
  <c r="I22" i="38"/>
  <c r="C59" i="62"/>
  <c r="E23" i="62"/>
  <c r="C33" i="56"/>
  <c r="C33" i="54"/>
  <c r="C33" i="53"/>
  <c r="C58" i="64"/>
  <c r="F22" i="64"/>
  <c r="H26" i="70"/>
  <c r="H62" i="70" s="1"/>
  <c r="G26" i="70"/>
  <c r="F62" i="70"/>
  <c r="G60" i="65"/>
  <c r="P24" i="65"/>
  <c r="D23" i="64"/>
  <c r="D59" i="64" s="1"/>
  <c r="N59" i="65"/>
  <c r="F31" i="60"/>
  <c r="C66" i="60"/>
  <c r="F24" i="63"/>
  <c r="F60" i="63" s="1"/>
  <c r="E60" i="63"/>
  <c r="D29" i="26"/>
  <c r="E29" i="26"/>
  <c r="C65" i="26"/>
  <c r="D28" i="69"/>
  <c r="C64" i="69"/>
  <c r="E28" i="69"/>
  <c r="E64" i="69" s="1"/>
  <c r="G62" i="61"/>
  <c r="I26" i="61"/>
  <c r="F28" i="55"/>
  <c r="F64" i="55" s="1"/>
  <c r="E64" i="55"/>
  <c r="I60" i="70"/>
  <c r="J24" i="70"/>
  <c r="J60" i="70" s="1"/>
  <c r="E58" i="62"/>
  <c r="F22" i="62"/>
  <c r="F58" i="62" s="1"/>
  <c r="E23" i="64"/>
  <c r="E59" i="64" s="1"/>
  <c r="P59" i="65"/>
  <c r="C60" i="27"/>
  <c r="E24" i="27"/>
  <c r="G63" i="26"/>
  <c r="H26" i="65"/>
  <c r="M24" i="65"/>
  <c r="D60" i="65"/>
  <c r="G30" i="60"/>
  <c r="G65" i="60" s="1"/>
  <c r="F65" i="60"/>
  <c r="G63" i="67"/>
  <c r="H27" i="67"/>
  <c r="H63" i="67" s="1"/>
  <c r="C65" i="55"/>
  <c r="E29" i="55"/>
  <c r="G21" i="64"/>
  <c r="G57" i="64" s="1"/>
  <c r="F57" i="64"/>
  <c r="E59" i="27"/>
  <c r="C23" i="31"/>
  <c r="C58" i="31"/>
  <c r="E22" i="31"/>
  <c r="F60" i="65"/>
  <c r="O24" i="65"/>
  <c r="O60" i="65" s="1"/>
  <c r="E29" i="71"/>
  <c r="E64" i="71" s="1"/>
  <c r="D64" i="71"/>
  <c r="D63" i="70"/>
  <c r="F27" i="70"/>
  <c r="F31" i="53"/>
  <c r="E67" i="53"/>
  <c r="F63" i="26"/>
  <c r="C26" i="65"/>
  <c r="H27" i="26"/>
  <c r="E58" i="37"/>
  <c r="F23" i="37"/>
  <c r="F58" i="37" s="1"/>
  <c r="G32" i="54"/>
  <c r="E32" i="60" s="1"/>
  <c r="E67" i="60" s="1"/>
  <c r="F32" i="54"/>
  <c r="E32" i="54"/>
  <c r="D32" i="60" s="1"/>
  <c r="D67" i="60" s="1"/>
  <c r="D32" i="54"/>
  <c r="C32" i="60" s="1"/>
  <c r="F67" i="56"/>
  <c r="G31" i="56"/>
  <c r="G67" i="56" s="1"/>
  <c r="E64" i="67"/>
  <c r="G28" i="67"/>
  <c r="C26" i="63"/>
  <c r="C25" i="37"/>
  <c r="H62" i="26"/>
  <c r="C25" i="27"/>
  <c r="C31" i="71"/>
  <c r="E24" i="37"/>
  <c r="C59" i="37"/>
  <c r="D28" i="70"/>
  <c r="E28" i="70"/>
  <c r="E64" i="70" s="1"/>
  <c r="C64" i="70"/>
  <c r="E57" i="31"/>
  <c r="F21" i="31"/>
  <c r="F57" i="31" s="1"/>
  <c r="M59" i="65"/>
  <c r="C23" i="64"/>
  <c r="E60" i="65"/>
  <c r="N24" i="65"/>
  <c r="C68" i="56"/>
  <c r="F32" i="56"/>
  <c r="E61" i="65" l="1"/>
  <c r="N25" i="65"/>
  <c r="E65" i="26"/>
  <c r="D29" i="61"/>
  <c r="G29" i="26"/>
  <c r="D33" i="54"/>
  <c r="E33" i="54"/>
  <c r="F33" i="54"/>
  <c r="F34" i="54" s="1"/>
  <c r="G33" i="54"/>
  <c r="C34" i="54"/>
  <c r="G32" i="56"/>
  <c r="G68" i="56" s="1"/>
  <c r="F68" i="56"/>
  <c r="C31" i="55"/>
  <c r="F67" i="53"/>
  <c r="C29" i="61"/>
  <c r="D65" i="26"/>
  <c r="F29" i="26"/>
  <c r="C69" i="56"/>
  <c r="F33" i="56"/>
  <c r="E65" i="67"/>
  <c r="G29" i="67"/>
  <c r="D29" i="69"/>
  <c r="C65" i="69"/>
  <c r="E29" i="69"/>
  <c r="E65" i="69" s="1"/>
  <c r="O25" i="65"/>
  <c r="O61" i="65" s="1"/>
  <c r="F61" i="65"/>
  <c r="C62" i="63"/>
  <c r="E26" i="63"/>
  <c r="H27" i="70"/>
  <c r="H63" i="70" s="1"/>
  <c r="F63" i="70"/>
  <c r="G27" i="70"/>
  <c r="C59" i="31"/>
  <c r="E23" i="31"/>
  <c r="I62" i="61"/>
  <c r="C25" i="62"/>
  <c r="E59" i="62"/>
  <c r="F23" i="62"/>
  <c r="F59" i="62" s="1"/>
  <c r="F32" i="53"/>
  <c r="E68" i="53"/>
  <c r="E29" i="70"/>
  <c r="E65" i="70" s="1"/>
  <c r="D29" i="70"/>
  <c r="C65" i="70"/>
  <c r="C67" i="60"/>
  <c r="F32" i="60"/>
  <c r="G27" i="69"/>
  <c r="G63" i="69" s="1"/>
  <c r="F63" i="69"/>
  <c r="C30" i="70"/>
  <c r="C30" i="69"/>
  <c r="C31" i="26"/>
  <c r="M88" i="59"/>
  <c r="D31" i="67"/>
  <c r="M43" i="59"/>
  <c r="E58" i="31"/>
  <c r="F22" i="31"/>
  <c r="F58" i="31" s="1"/>
  <c r="G64" i="26"/>
  <c r="H27" i="65"/>
  <c r="D64" i="70"/>
  <c r="F28" i="70"/>
  <c r="G28" i="61"/>
  <c r="C64" i="61"/>
  <c r="E25" i="27"/>
  <c r="C61" i="27"/>
  <c r="C69" i="53"/>
  <c r="E33" i="53"/>
  <c r="C34" i="53"/>
  <c r="C70" i="53" s="1"/>
  <c r="I61" i="70"/>
  <c r="J25" i="70"/>
  <c r="J61" i="70" s="1"/>
  <c r="C24" i="31"/>
  <c r="E60" i="27"/>
  <c r="P60" i="65"/>
  <c r="E24" i="64"/>
  <c r="E60" i="64" s="1"/>
  <c r="G63" i="61"/>
  <c r="I27" i="61"/>
  <c r="C27" i="65"/>
  <c r="H28" i="26"/>
  <c r="F64" i="26"/>
  <c r="C59" i="64"/>
  <c r="F23" i="64"/>
  <c r="E59" i="37"/>
  <c r="F24" i="37"/>
  <c r="F59" i="37" s="1"/>
  <c r="C26" i="37"/>
  <c r="C32" i="71"/>
  <c r="C27" i="63"/>
  <c r="C26" i="27"/>
  <c r="H63" i="26"/>
  <c r="C24" i="64"/>
  <c r="M60" i="65"/>
  <c r="G31" i="60"/>
  <c r="G66" i="60" s="1"/>
  <c r="F66" i="60"/>
  <c r="G22" i="64"/>
  <c r="G58" i="64" s="1"/>
  <c r="F58" i="64"/>
  <c r="D65" i="71"/>
  <c r="E30" i="71"/>
  <c r="E65" i="71" s="1"/>
  <c r="E61" i="63"/>
  <c r="F25" i="63"/>
  <c r="F61" i="63" s="1"/>
  <c r="D30" i="26"/>
  <c r="C66" i="26"/>
  <c r="E30" i="26"/>
  <c r="M25" i="65"/>
  <c r="D61" i="65"/>
  <c r="D28" i="38"/>
  <c r="D33" i="38" s="1"/>
  <c r="D64" i="61"/>
  <c r="H28" i="61"/>
  <c r="H64" i="61" s="1"/>
  <c r="E30" i="67"/>
  <c r="D66" i="67"/>
  <c r="F30" i="67"/>
  <c r="F66" i="67" s="1"/>
  <c r="C60" i="37"/>
  <c r="E25" i="37"/>
  <c r="D24" i="64"/>
  <c r="D60" i="64" s="1"/>
  <c r="N60" i="65"/>
  <c r="H28" i="67"/>
  <c r="H64" i="67" s="1"/>
  <c r="G64" i="67"/>
  <c r="G62" i="70"/>
  <c r="I26" i="70"/>
  <c r="E24" i="62"/>
  <c r="C60" i="62"/>
  <c r="C66" i="55"/>
  <c r="E30" i="55"/>
  <c r="C66" i="71"/>
  <c r="D31" i="71"/>
  <c r="D26" i="65"/>
  <c r="E26" i="65"/>
  <c r="C62" i="65"/>
  <c r="G26" i="65"/>
  <c r="F26" i="65"/>
  <c r="E65" i="55"/>
  <c r="F29" i="55"/>
  <c r="F65" i="55" s="1"/>
  <c r="I26" i="65"/>
  <c r="I62" i="65" s="1"/>
  <c r="K26" i="65"/>
  <c r="K62" i="65" s="1"/>
  <c r="L26" i="65"/>
  <c r="L62" i="65" s="1"/>
  <c r="H62" i="65"/>
  <c r="J26" i="65"/>
  <c r="J62" i="65" s="1"/>
  <c r="D64" i="69"/>
  <c r="F28" i="69"/>
  <c r="G61" i="65"/>
  <c r="P25" i="65"/>
  <c r="E31" i="71" l="1"/>
  <c r="E66" i="71" s="1"/>
  <c r="D66" i="71"/>
  <c r="E66" i="67"/>
  <c r="G30" i="67"/>
  <c r="L27" i="65"/>
  <c r="L63" i="65" s="1"/>
  <c r="K27" i="65"/>
  <c r="K63" i="65" s="1"/>
  <c r="H63" i="65"/>
  <c r="J27" i="65"/>
  <c r="J63" i="65" s="1"/>
  <c r="I27" i="65"/>
  <c r="I63" i="65" s="1"/>
  <c r="I27" i="70"/>
  <c r="G63" i="70"/>
  <c r="F59" i="64"/>
  <c r="G23" i="64"/>
  <c r="G59" i="64" s="1"/>
  <c r="C33" i="60"/>
  <c r="D34" i="54"/>
  <c r="G65" i="26"/>
  <c r="H28" i="65"/>
  <c r="P26" i="65"/>
  <c r="G62" i="65"/>
  <c r="E60" i="37"/>
  <c r="F25" i="37"/>
  <c r="F60" i="37" s="1"/>
  <c r="C62" i="27"/>
  <c r="E26" i="27"/>
  <c r="E24" i="31"/>
  <c r="C60" i="31"/>
  <c r="C31" i="69"/>
  <c r="D32" i="67"/>
  <c r="C32" i="26"/>
  <c r="C31" i="70"/>
  <c r="M44" i="59"/>
  <c r="M89" i="59"/>
  <c r="G32" i="60"/>
  <c r="G67" i="60" s="1"/>
  <c r="F67" i="60"/>
  <c r="E62" i="63"/>
  <c r="F26" i="63"/>
  <c r="F62" i="63" s="1"/>
  <c r="D65" i="61"/>
  <c r="H29" i="61"/>
  <c r="H65" i="61" s="1"/>
  <c r="C30" i="61"/>
  <c r="D66" i="26"/>
  <c r="F30" i="26"/>
  <c r="E69" i="53"/>
  <c r="F33" i="53"/>
  <c r="E34" i="53"/>
  <c r="E70" i="53" s="1"/>
  <c r="G29" i="61"/>
  <c r="C65" i="61"/>
  <c r="G28" i="69"/>
  <c r="G64" i="69" s="1"/>
  <c r="F64" i="69"/>
  <c r="C67" i="55"/>
  <c r="E31" i="55"/>
  <c r="E60" i="62"/>
  <c r="F24" i="62"/>
  <c r="F60" i="62" s="1"/>
  <c r="C25" i="64"/>
  <c r="M61" i="65"/>
  <c r="E27" i="63"/>
  <c r="C63" i="63"/>
  <c r="H64" i="26"/>
  <c r="C33" i="71"/>
  <c r="C27" i="27"/>
  <c r="C27" i="37"/>
  <c r="C28" i="63"/>
  <c r="G64" i="61"/>
  <c r="I28" i="61"/>
  <c r="F31" i="67"/>
  <c r="F67" i="67" s="1"/>
  <c r="E31" i="67"/>
  <c r="D67" i="67"/>
  <c r="C61" i="62"/>
  <c r="E25" i="62"/>
  <c r="G33" i="56"/>
  <c r="F69" i="56"/>
  <c r="F34" i="56"/>
  <c r="F70" i="56" s="1"/>
  <c r="P61" i="65"/>
  <c r="E25" i="64"/>
  <c r="E61" i="64" s="1"/>
  <c r="D33" i="60"/>
  <c r="E34" i="54"/>
  <c r="E66" i="55"/>
  <c r="F30" i="55"/>
  <c r="F66" i="55" s="1"/>
  <c r="C60" i="64"/>
  <c r="F24" i="64"/>
  <c r="D65" i="69"/>
  <c r="F29" i="69"/>
  <c r="E61" i="27"/>
  <c r="C25" i="31"/>
  <c r="E62" i="65"/>
  <c r="N26" i="65"/>
  <c r="I62" i="70"/>
  <c r="J26" i="70"/>
  <c r="J62" i="70" s="1"/>
  <c r="D30" i="61"/>
  <c r="G30" i="26"/>
  <c r="E66" i="26"/>
  <c r="C67" i="71"/>
  <c r="D32" i="71"/>
  <c r="E27" i="65"/>
  <c r="F27" i="65"/>
  <c r="C63" i="65"/>
  <c r="D27" i="65"/>
  <c r="G27" i="65"/>
  <c r="G28" i="70"/>
  <c r="H28" i="70"/>
  <c r="H64" i="70" s="1"/>
  <c r="F64" i="70"/>
  <c r="N61" i="65"/>
  <c r="D25" i="64"/>
  <c r="D61" i="64" s="1"/>
  <c r="E30" i="69"/>
  <c r="E66" i="69" s="1"/>
  <c r="C66" i="69"/>
  <c r="D30" i="69"/>
  <c r="C66" i="70"/>
  <c r="D30" i="70"/>
  <c r="E30" i="70"/>
  <c r="E66" i="70" s="1"/>
  <c r="C32" i="55"/>
  <c r="F68" i="53"/>
  <c r="F62" i="65"/>
  <c r="O26" i="65"/>
  <c r="O62" i="65" s="1"/>
  <c r="G65" i="67"/>
  <c r="H29" i="67"/>
  <c r="H65" i="67" s="1"/>
  <c r="D62" i="65"/>
  <c r="M26" i="65"/>
  <c r="E26" i="37"/>
  <c r="C61" i="37"/>
  <c r="C26" i="62"/>
  <c r="I63" i="61"/>
  <c r="E31" i="26"/>
  <c r="D31" i="26"/>
  <c r="C67" i="26"/>
  <c r="D65" i="70"/>
  <c r="F29" i="70"/>
  <c r="F23" i="31"/>
  <c r="F59" i="31" s="1"/>
  <c r="E59" i="31"/>
  <c r="C28" i="65"/>
  <c r="H29" i="26"/>
  <c r="F65" i="26"/>
  <c r="E33" i="60"/>
  <c r="G34" i="54"/>
  <c r="E67" i="26" l="1"/>
  <c r="G31" i="26"/>
  <c r="D31" i="61"/>
  <c r="D28" i="65"/>
  <c r="G28" i="65"/>
  <c r="F28" i="65"/>
  <c r="E28" i="65"/>
  <c r="C64" i="65"/>
  <c r="D63" i="65"/>
  <c r="M27" i="65"/>
  <c r="G24" i="64"/>
  <c r="G60" i="64" s="1"/>
  <c r="F60" i="64"/>
  <c r="E63" i="63"/>
  <c r="F27" i="63"/>
  <c r="F63" i="63" s="1"/>
  <c r="G29" i="70"/>
  <c r="F65" i="70"/>
  <c r="H29" i="70"/>
  <c r="H65" i="70" s="1"/>
  <c r="F26" i="37"/>
  <c r="F61" i="37" s="1"/>
  <c r="E61" i="37"/>
  <c r="E32" i="55"/>
  <c r="C68" i="55"/>
  <c r="N27" i="65"/>
  <c r="E63" i="65"/>
  <c r="D26" i="64"/>
  <c r="D62" i="64" s="1"/>
  <c r="N62" i="65"/>
  <c r="G69" i="56"/>
  <c r="G34" i="56"/>
  <c r="E28" i="63"/>
  <c r="C64" i="63"/>
  <c r="C61" i="64"/>
  <c r="F25" i="64"/>
  <c r="G65" i="61"/>
  <c r="I29" i="61"/>
  <c r="C68" i="26"/>
  <c r="E32" i="26"/>
  <c r="D32" i="26"/>
  <c r="H30" i="67"/>
  <c r="H66" i="67" s="1"/>
  <c r="G66" i="67"/>
  <c r="F30" i="69"/>
  <c r="D66" i="69"/>
  <c r="F63" i="65"/>
  <c r="O27" i="65"/>
  <c r="O63" i="65" s="1"/>
  <c r="E31" i="70"/>
  <c r="E67" i="70" s="1"/>
  <c r="C67" i="70"/>
  <c r="D31" i="70"/>
  <c r="M62" i="65"/>
  <c r="C26" i="64"/>
  <c r="E32" i="71"/>
  <c r="E67" i="71" s="1"/>
  <c r="D67" i="71"/>
  <c r="E61" i="62"/>
  <c r="F25" i="62"/>
  <c r="F61" i="62" s="1"/>
  <c r="E27" i="37"/>
  <c r="C62" i="37"/>
  <c r="D68" i="67"/>
  <c r="E32" i="67"/>
  <c r="F32" i="67"/>
  <c r="F68" i="67" s="1"/>
  <c r="H29" i="65"/>
  <c r="G66" i="26"/>
  <c r="C29" i="65"/>
  <c r="F66" i="26"/>
  <c r="H30" i="26"/>
  <c r="E60" i="31"/>
  <c r="F24" i="31"/>
  <c r="F60" i="31" s="1"/>
  <c r="D66" i="61"/>
  <c r="H30" i="61"/>
  <c r="H66" i="61" s="1"/>
  <c r="C27" i="62"/>
  <c r="I64" i="61"/>
  <c r="C66" i="61"/>
  <c r="G30" i="61"/>
  <c r="F33" i="60"/>
  <c r="C68" i="60"/>
  <c r="C34" i="60"/>
  <c r="C69" i="60" s="1"/>
  <c r="E68" i="60"/>
  <c r="E34" i="60"/>
  <c r="E69" i="60" s="1"/>
  <c r="D66" i="70"/>
  <c r="F30" i="70"/>
  <c r="E25" i="31"/>
  <c r="C61" i="31"/>
  <c r="E27" i="27"/>
  <c r="C63" i="27"/>
  <c r="C33" i="55"/>
  <c r="F69" i="53"/>
  <c r="F34" i="53"/>
  <c r="F70" i="53" s="1"/>
  <c r="E31" i="69"/>
  <c r="E67" i="69" s="1"/>
  <c r="D31" i="69"/>
  <c r="C67" i="69"/>
  <c r="P62" i="65"/>
  <c r="E26" i="64"/>
  <c r="E62" i="64" s="1"/>
  <c r="J27" i="70"/>
  <c r="J63" i="70" s="1"/>
  <c r="I63" i="70"/>
  <c r="C34" i="71"/>
  <c r="C28" i="37"/>
  <c r="H65" i="26"/>
  <c r="C28" i="27"/>
  <c r="C29" i="63"/>
  <c r="G63" i="65"/>
  <c r="P27" i="65"/>
  <c r="G29" i="69"/>
  <c r="G65" i="69" s="1"/>
  <c r="F65" i="69"/>
  <c r="G31" i="67"/>
  <c r="E67" i="67"/>
  <c r="C26" i="31"/>
  <c r="E62" i="27"/>
  <c r="E26" i="62"/>
  <c r="C62" i="62"/>
  <c r="C32" i="70"/>
  <c r="D33" i="67"/>
  <c r="C33" i="26"/>
  <c r="M45" i="59"/>
  <c r="C32" i="69"/>
  <c r="M90" i="59"/>
  <c r="F31" i="26"/>
  <c r="D67" i="26"/>
  <c r="C31" i="61"/>
  <c r="G64" i="70"/>
  <c r="I28" i="70"/>
  <c r="D68" i="60"/>
  <c r="D34" i="60"/>
  <c r="D69" i="60" s="1"/>
  <c r="D33" i="71"/>
  <c r="C68" i="71"/>
  <c r="F31" i="55"/>
  <c r="F67" i="55" s="1"/>
  <c r="E67" i="55"/>
  <c r="H64" i="65"/>
  <c r="L28" i="65"/>
  <c r="L64" i="65" s="1"/>
  <c r="J28" i="65"/>
  <c r="J64" i="65" s="1"/>
  <c r="K28" i="65"/>
  <c r="K64" i="65" s="1"/>
  <c r="I28" i="65"/>
  <c r="I64" i="65" s="1"/>
  <c r="E62" i="62" l="1"/>
  <c r="F26" i="62"/>
  <c r="F62" i="62" s="1"/>
  <c r="G30" i="69"/>
  <c r="G66" i="69" s="1"/>
  <c r="F66" i="69"/>
  <c r="G65" i="70"/>
  <c r="I29" i="70"/>
  <c r="E32" i="69"/>
  <c r="E68" i="69" s="1"/>
  <c r="D32" i="69"/>
  <c r="C68" i="69"/>
  <c r="G66" i="61"/>
  <c r="I30" i="61"/>
  <c r="P28" i="65"/>
  <c r="G64" i="65"/>
  <c r="J28" i="70"/>
  <c r="J64" i="70" s="1"/>
  <c r="I64" i="70"/>
  <c r="E33" i="26"/>
  <c r="C69" i="26"/>
  <c r="D33" i="26"/>
  <c r="G67" i="67"/>
  <c r="H31" i="67"/>
  <c r="H67" i="67" s="1"/>
  <c r="C63" i="37"/>
  <c r="E28" i="37"/>
  <c r="F66" i="70"/>
  <c r="G30" i="70"/>
  <c r="H30" i="70"/>
  <c r="H66" i="70" s="1"/>
  <c r="F27" i="37"/>
  <c r="F62" i="37" s="1"/>
  <c r="E62" i="37"/>
  <c r="F32" i="26"/>
  <c r="C32" i="61"/>
  <c r="D68" i="26"/>
  <c r="F28" i="63"/>
  <c r="F64" i="63" s="1"/>
  <c r="E64" i="63"/>
  <c r="F32" i="55"/>
  <c r="F68" i="55" s="1"/>
  <c r="E68" i="55"/>
  <c r="D64" i="65"/>
  <c r="M28" i="65"/>
  <c r="E33" i="71"/>
  <c r="E68" i="71" s="1"/>
  <c r="D68" i="71"/>
  <c r="E29" i="63"/>
  <c r="C65" i="63"/>
  <c r="E63" i="27"/>
  <c r="C27" i="31"/>
  <c r="E68" i="67"/>
  <c r="G32" i="67"/>
  <c r="N28" i="65"/>
  <c r="E64" i="65"/>
  <c r="C62" i="31"/>
  <c r="E26" i="31"/>
  <c r="D27" i="64"/>
  <c r="D63" i="64" s="1"/>
  <c r="N63" i="65"/>
  <c r="E61" i="31"/>
  <c r="F25" i="31"/>
  <c r="F61" i="31" s="1"/>
  <c r="E33" i="67"/>
  <c r="F33" i="67"/>
  <c r="F69" i="67" s="1"/>
  <c r="D69" i="67"/>
  <c r="D34" i="71"/>
  <c r="C69" i="71"/>
  <c r="D29" i="65"/>
  <c r="E29" i="65"/>
  <c r="C65" i="65"/>
  <c r="F29" i="65"/>
  <c r="G29" i="65"/>
  <c r="G32" i="26"/>
  <c r="D32" i="61"/>
  <c r="E68" i="26"/>
  <c r="G70" i="56"/>
  <c r="C10" i="38"/>
  <c r="I10" i="38" s="1"/>
  <c r="H31" i="61"/>
  <c r="H67" i="61" s="1"/>
  <c r="D67" i="61"/>
  <c r="C62" i="64"/>
  <c r="F26" i="64"/>
  <c r="G33" i="60"/>
  <c r="F68" i="60"/>
  <c r="F34" i="60"/>
  <c r="F69" i="60" s="1"/>
  <c r="F64" i="65"/>
  <c r="O28" i="65"/>
  <c r="O64" i="65" s="1"/>
  <c r="F31" i="69"/>
  <c r="D67" i="69"/>
  <c r="C29" i="27"/>
  <c r="C35" i="71"/>
  <c r="C30" i="63"/>
  <c r="H66" i="26"/>
  <c r="C29" i="37"/>
  <c r="D67" i="70"/>
  <c r="F31" i="70"/>
  <c r="C67" i="61"/>
  <c r="G31" i="61"/>
  <c r="E32" i="70"/>
  <c r="E68" i="70" s="1"/>
  <c r="D32" i="70"/>
  <c r="C68" i="70"/>
  <c r="C63" i="62"/>
  <c r="E27" i="62"/>
  <c r="C27" i="64"/>
  <c r="M63" i="65"/>
  <c r="H30" i="65"/>
  <c r="G67" i="26"/>
  <c r="H31" i="26"/>
  <c r="C30" i="65"/>
  <c r="F67" i="26"/>
  <c r="F61" i="64"/>
  <c r="G25" i="64"/>
  <c r="G61" i="64" s="1"/>
  <c r="C64" i="27"/>
  <c r="E28" i="27"/>
  <c r="C33" i="69"/>
  <c r="C33" i="70"/>
  <c r="D34" i="67"/>
  <c r="C34" i="26"/>
  <c r="M91" i="59"/>
  <c r="P63" i="65"/>
  <c r="E27" i="64"/>
  <c r="E63" i="64" s="1"/>
  <c r="C69" i="55"/>
  <c r="E33" i="55"/>
  <c r="C34" i="55"/>
  <c r="C70" i="55" s="1"/>
  <c r="I29" i="65"/>
  <c r="I65" i="65" s="1"/>
  <c r="L29" i="65"/>
  <c r="L65" i="65" s="1"/>
  <c r="H65" i="65"/>
  <c r="J29" i="65"/>
  <c r="J65" i="65" s="1"/>
  <c r="K29" i="65"/>
  <c r="K65" i="65" s="1"/>
  <c r="C28" i="62"/>
  <c r="I65" i="61"/>
  <c r="F33" i="55" l="1"/>
  <c r="E69" i="55"/>
  <c r="E34" i="55"/>
  <c r="E70" i="55" s="1"/>
  <c r="D33" i="69"/>
  <c r="E33" i="69"/>
  <c r="C69" i="69"/>
  <c r="C34" i="69"/>
  <c r="C70" i="69" s="1"/>
  <c r="C70" i="71"/>
  <c r="D35" i="71"/>
  <c r="D68" i="61"/>
  <c r="H32" i="61"/>
  <c r="H68" i="61" s="1"/>
  <c r="E28" i="62"/>
  <c r="C64" i="62"/>
  <c r="I30" i="65"/>
  <c r="I66" i="65" s="1"/>
  <c r="H66" i="65"/>
  <c r="J30" i="65"/>
  <c r="J66" i="65" s="1"/>
  <c r="K30" i="65"/>
  <c r="K66" i="65" s="1"/>
  <c r="L30" i="65"/>
  <c r="L66" i="65" s="1"/>
  <c r="C65" i="27"/>
  <c r="E29" i="27"/>
  <c r="H31" i="65"/>
  <c r="G68" i="26"/>
  <c r="F29" i="63"/>
  <c r="F65" i="63" s="1"/>
  <c r="E65" i="63"/>
  <c r="P29" i="65"/>
  <c r="G65" i="65"/>
  <c r="E63" i="37"/>
  <c r="F28" i="37"/>
  <c r="F63" i="37" s="1"/>
  <c r="I65" i="70"/>
  <c r="J29" i="70"/>
  <c r="J65" i="70" s="1"/>
  <c r="F27" i="64"/>
  <c r="C63" i="64"/>
  <c r="G31" i="70"/>
  <c r="F67" i="70"/>
  <c r="H31" i="70"/>
  <c r="H67" i="70" s="1"/>
  <c r="G31" i="69"/>
  <c r="G67" i="69" s="1"/>
  <c r="F67" i="69"/>
  <c r="O29" i="65"/>
  <c r="O65" i="65" s="1"/>
  <c r="F65" i="65"/>
  <c r="E69" i="67"/>
  <c r="G33" i="67"/>
  <c r="N64" i="65"/>
  <c r="D28" i="64"/>
  <c r="D64" i="64" s="1"/>
  <c r="C68" i="61"/>
  <c r="G32" i="61"/>
  <c r="G68" i="60"/>
  <c r="G34" i="60"/>
  <c r="E62" i="31"/>
  <c r="F26" i="31"/>
  <c r="F62" i="31" s="1"/>
  <c r="F32" i="69"/>
  <c r="D68" i="69"/>
  <c r="I31" i="61"/>
  <c r="G67" i="61"/>
  <c r="M64" i="65"/>
  <c r="C28" i="64"/>
  <c r="E34" i="26"/>
  <c r="D34" i="26"/>
  <c r="C70" i="26"/>
  <c r="C71" i="26" s="1"/>
  <c r="C35" i="26"/>
  <c r="E29" i="37"/>
  <c r="C64" i="37"/>
  <c r="E65" i="65"/>
  <c r="N29" i="65"/>
  <c r="I66" i="61"/>
  <c r="C29" i="62"/>
  <c r="D69" i="71"/>
  <c r="E34" i="71"/>
  <c r="E69" i="71" s="1"/>
  <c r="G66" i="70"/>
  <c r="I30" i="70"/>
  <c r="G26" i="64"/>
  <c r="G62" i="64" s="1"/>
  <c r="F62" i="64"/>
  <c r="E63" i="62"/>
  <c r="F27" i="62"/>
  <c r="F63" i="62" s="1"/>
  <c r="G68" i="67"/>
  <c r="H32" i="67"/>
  <c r="H68" i="67" s="1"/>
  <c r="F68" i="26"/>
  <c r="C31" i="65"/>
  <c r="H32" i="26"/>
  <c r="P64" i="65"/>
  <c r="E28" i="64"/>
  <c r="E64" i="64" s="1"/>
  <c r="D70" i="67"/>
  <c r="E34" i="67"/>
  <c r="F34" i="67"/>
  <c r="D35" i="67"/>
  <c r="D71" i="67" s="1"/>
  <c r="G30" i="65"/>
  <c r="C66" i="65"/>
  <c r="E30" i="65"/>
  <c r="D30" i="65"/>
  <c r="F30" i="65"/>
  <c r="M29" i="65"/>
  <c r="D65" i="65"/>
  <c r="C63" i="31"/>
  <c r="E27" i="31"/>
  <c r="C33" i="61"/>
  <c r="F33" i="26"/>
  <c r="D69" i="26"/>
  <c r="G33" i="26"/>
  <c r="E69" i="26"/>
  <c r="D33" i="61"/>
  <c r="C28" i="31"/>
  <c r="E64" i="27"/>
  <c r="C69" i="70"/>
  <c r="D33" i="70"/>
  <c r="E33" i="70"/>
  <c r="C34" i="70"/>
  <c r="C70" i="70" s="1"/>
  <c r="C36" i="71"/>
  <c r="C30" i="37"/>
  <c r="C30" i="27"/>
  <c r="C31" i="63"/>
  <c r="H67" i="26"/>
  <c r="D68" i="70"/>
  <c r="F32" i="70"/>
  <c r="E30" i="63"/>
  <c r="C66" i="63"/>
  <c r="E66" i="65" l="1"/>
  <c r="N30" i="65"/>
  <c r="N65" i="65"/>
  <c r="D29" i="64"/>
  <c r="D65" i="64" s="1"/>
  <c r="G33" i="61"/>
  <c r="C69" i="61"/>
  <c r="E31" i="63"/>
  <c r="C67" i="63"/>
  <c r="F27" i="31"/>
  <c r="F63" i="31" s="1"/>
  <c r="E63" i="31"/>
  <c r="P30" i="65"/>
  <c r="G66" i="65"/>
  <c r="D31" i="65"/>
  <c r="F31" i="65"/>
  <c r="G31" i="65"/>
  <c r="E31" i="65"/>
  <c r="C67" i="65"/>
  <c r="J30" i="70"/>
  <c r="J66" i="70" s="1"/>
  <c r="I66" i="70"/>
  <c r="I32" i="61"/>
  <c r="G68" i="61"/>
  <c r="K31" i="65"/>
  <c r="K67" i="65" s="1"/>
  <c r="H67" i="65"/>
  <c r="L31" i="65"/>
  <c r="L67" i="65" s="1"/>
  <c r="I31" i="65"/>
  <c r="I67" i="65" s="1"/>
  <c r="J31" i="65"/>
  <c r="J67" i="65" s="1"/>
  <c r="E69" i="69"/>
  <c r="E34" i="69"/>
  <c r="E70" i="69" s="1"/>
  <c r="E69" i="70"/>
  <c r="E34" i="70"/>
  <c r="E70" i="70" s="1"/>
  <c r="M30" i="65"/>
  <c r="D66" i="65"/>
  <c r="D34" i="61"/>
  <c r="G34" i="26"/>
  <c r="E70" i="26"/>
  <c r="E71" i="26" s="1"/>
  <c r="E35" i="26"/>
  <c r="C32" i="65"/>
  <c r="F69" i="26"/>
  <c r="H33" i="26"/>
  <c r="F29" i="37"/>
  <c r="F64" i="37" s="1"/>
  <c r="E64" i="37"/>
  <c r="C30" i="62"/>
  <c r="I67" i="61"/>
  <c r="E65" i="27"/>
  <c r="C29" i="31"/>
  <c r="E30" i="37"/>
  <c r="C65" i="37"/>
  <c r="H33" i="61"/>
  <c r="H69" i="61" s="1"/>
  <c r="D69" i="61"/>
  <c r="F70" i="67"/>
  <c r="F35" i="67"/>
  <c r="F71" i="67" s="1"/>
  <c r="G69" i="60"/>
  <c r="C17" i="38"/>
  <c r="I17" i="38" s="1"/>
  <c r="G27" i="64"/>
  <c r="G63" i="64" s="1"/>
  <c r="F63" i="64"/>
  <c r="C32" i="63"/>
  <c r="C37" i="71"/>
  <c r="C31" i="37"/>
  <c r="H68" i="26"/>
  <c r="C31" i="27"/>
  <c r="F28" i="62"/>
  <c r="F64" i="62" s="1"/>
  <c r="E64" i="62"/>
  <c r="D36" i="71"/>
  <c r="C71" i="71"/>
  <c r="M65" i="65"/>
  <c r="C29" i="64"/>
  <c r="E70" i="67"/>
  <c r="G34" i="67"/>
  <c r="E35" i="67"/>
  <c r="E71" i="67" s="1"/>
  <c r="F68" i="69"/>
  <c r="G32" i="69"/>
  <c r="G68" i="69" s="1"/>
  <c r="H32" i="70"/>
  <c r="H68" i="70" s="1"/>
  <c r="G32" i="70"/>
  <c r="F68" i="70"/>
  <c r="D69" i="70"/>
  <c r="F33" i="70"/>
  <c r="D34" i="70"/>
  <c r="D70" i="70" s="1"/>
  <c r="C64" i="64"/>
  <c r="F28" i="64"/>
  <c r="E30" i="27"/>
  <c r="C66" i="27"/>
  <c r="C64" i="31"/>
  <c r="E28" i="31"/>
  <c r="F33" i="69"/>
  <c r="D69" i="69"/>
  <c r="D34" i="69"/>
  <c r="D70" i="69" s="1"/>
  <c r="F30" i="63"/>
  <c r="F66" i="63" s="1"/>
  <c r="E66" i="63"/>
  <c r="G69" i="26"/>
  <c r="H32" i="65"/>
  <c r="F66" i="65"/>
  <c r="O30" i="65"/>
  <c r="O66" i="65" s="1"/>
  <c r="E29" i="62"/>
  <c r="C65" i="62"/>
  <c r="F34" i="26"/>
  <c r="D70" i="26"/>
  <c r="D71" i="26" s="1"/>
  <c r="C34" i="61"/>
  <c r="D35" i="26"/>
  <c r="H33" i="67"/>
  <c r="H69" i="67" s="1"/>
  <c r="G69" i="67"/>
  <c r="G67" i="70"/>
  <c r="I31" i="70"/>
  <c r="P65" i="65"/>
  <c r="E29" i="64"/>
  <c r="E65" i="64" s="1"/>
  <c r="E35" i="71"/>
  <c r="E70" i="71" s="1"/>
  <c r="D70" i="71"/>
  <c r="F69" i="55"/>
  <c r="F34" i="55"/>
  <c r="M66" i="65" l="1"/>
  <c r="C30" i="64"/>
  <c r="F67" i="65"/>
  <c r="O31" i="65"/>
  <c r="O67" i="65" s="1"/>
  <c r="E65" i="62"/>
  <c r="F29" i="62"/>
  <c r="F65" i="62" s="1"/>
  <c r="C65" i="31"/>
  <c r="E29" i="31"/>
  <c r="F32" i="65"/>
  <c r="E32" i="65"/>
  <c r="C68" i="65"/>
  <c r="D32" i="65"/>
  <c r="G32" i="65"/>
  <c r="D67" i="65"/>
  <c r="M31" i="65"/>
  <c r="G69" i="61"/>
  <c r="I33" i="61"/>
  <c r="C68" i="63"/>
  <c r="E32" i="63"/>
  <c r="C9" i="38"/>
  <c r="F70" i="55"/>
  <c r="G33" i="69"/>
  <c r="F69" i="69"/>
  <c r="F34" i="69"/>
  <c r="F70" i="69" s="1"/>
  <c r="H33" i="70"/>
  <c r="F69" i="70"/>
  <c r="G33" i="70"/>
  <c r="F34" i="70"/>
  <c r="F70" i="70" s="1"/>
  <c r="E31" i="27"/>
  <c r="C67" i="27"/>
  <c r="I68" i="61"/>
  <c r="C31" i="62"/>
  <c r="E64" i="31"/>
  <c r="F28" i="31"/>
  <c r="F64" i="31" s="1"/>
  <c r="P66" i="65"/>
  <c r="E30" i="64"/>
  <c r="E66" i="64" s="1"/>
  <c r="C30" i="31"/>
  <c r="E66" i="27"/>
  <c r="F31" i="63"/>
  <c r="F67" i="63" s="1"/>
  <c r="E67" i="63"/>
  <c r="J32" i="65"/>
  <c r="J68" i="65" s="1"/>
  <c r="L32" i="65"/>
  <c r="L68" i="65" s="1"/>
  <c r="H68" i="65"/>
  <c r="K32" i="65"/>
  <c r="K68" i="65" s="1"/>
  <c r="I32" i="65"/>
  <c r="I68" i="65" s="1"/>
  <c r="C65" i="64"/>
  <c r="F29" i="64"/>
  <c r="E31" i="37"/>
  <c r="C66" i="37"/>
  <c r="E30" i="62"/>
  <c r="C66" i="62"/>
  <c r="G70" i="26"/>
  <c r="G71" i="26" s="1"/>
  <c r="H33" i="65"/>
  <c r="G35" i="26"/>
  <c r="D30" i="64"/>
  <c r="D66" i="64" s="1"/>
  <c r="N66" i="65"/>
  <c r="N31" i="65"/>
  <c r="E67" i="65"/>
  <c r="H34" i="26"/>
  <c r="F70" i="26"/>
  <c r="F71" i="26" s="1"/>
  <c r="C33" i="65"/>
  <c r="F35" i="26"/>
  <c r="F64" i="64"/>
  <c r="G28" i="64"/>
  <c r="G64" i="64" s="1"/>
  <c r="E36" i="71"/>
  <c r="E71" i="71" s="1"/>
  <c r="D71" i="71"/>
  <c r="C38" i="71"/>
  <c r="H69" i="26"/>
  <c r="C33" i="63"/>
  <c r="C32" i="37"/>
  <c r="C32" i="27"/>
  <c r="G67" i="65"/>
  <c r="P31" i="65"/>
  <c r="J31" i="70"/>
  <c r="J67" i="70" s="1"/>
  <c r="I67" i="70"/>
  <c r="E65" i="37"/>
  <c r="F30" i="37"/>
  <c r="F65" i="37" s="1"/>
  <c r="G70" i="67"/>
  <c r="H34" i="67"/>
  <c r="G35" i="67"/>
  <c r="G71" i="67" s="1"/>
  <c r="C70" i="61"/>
  <c r="G34" i="61"/>
  <c r="C35" i="61"/>
  <c r="C71" i="61" s="1"/>
  <c r="I32" i="70"/>
  <c r="G68" i="70"/>
  <c r="D37" i="71"/>
  <c r="C72" i="71"/>
  <c r="H34" i="61"/>
  <c r="D70" i="61"/>
  <c r="D35" i="61"/>
  <c r="D71" i="61" s="1"/>
  <c r="H70" i="67" l="1"/>
  <c r="H35" i="67"/>
  <c r="H71" i="67" s="1"/>
  <c r="C68" i="27"/>
  <c r="E32" i="27"/>
  <c r="F65" i="64"/>
  <c r="G29" i="64"/>
  <c r="G65" i="64" s="1"/>
  <c r="G69" i="69"/>
  <c r="G34" i="69"/>
  <c r="G70" i="69" s="1"/>
  <c r="E33" i="63"/>
  <c r="C69" i="63"/>
  <c r="F33" i="65"/>
  <c r="C69" i="65"/>
  <c r="G33" i="65"/>
  <c r="D33" i="65"/>
  <c r="E33" i="65"/>
  <c r="C34" i="65"/>
  <c r="C70" i="65" s="1"/>
  <c r="K33" i="65"/>
  <c r="L33" i="65"/>
  <c r="H69" i="65"/>
  <c r="I33" i="65"/>
  <c r="J33" i="65"/>
  <c r="H34" i="65"/>
  <c r="H70" i="65" s="1"/>
  <c r="C66" i="31"/>
  <c r="E30" i="31"/>
  <c r="C31" i="31"/>
  <c r="E67" i="27"/>
  <c r="G68" i="65"/>
  <c r="P32" i="65"/>
  <c r="C31" i="64"/>
  <c r="M67" i="65"/>
  <c r="I68" i="70"/>
  <c r="J32" i="70"/>
  <c r="J68" i="70" s="1"/>
  <c r="D38" i="71"/>
  <c r="C73" i="71"/>
  <c r="C33" i="37"/>
  <c r="C39" i="71"/>
  <c r="C33" i="27"/>
  <c r="C34" i="63"/>
  <c r="H70" i="26"/>
  <c r="H71" i="26" s="1"/>
  <c r="H35" i="26"/>
  <c r="G69" i="70"/>
  <c r="I33" i="70"/>
  <c r="G34" i="70"/>
  <c r="G70" i="70" s="1"/>
  <c r="F32" i="63"/>
  <c r="F68" i="63" s="1"/>
  <c r="E68" i="63"/>
  <c r="H70" i="61"/>
  <c r="H35" i="61"/>
  <c r="H71" i="61" s="1"/>
  <c r="E65" i="31"/>
  <c r="F29" i="31"/>
  <c r="F65" i="31" s="1"/>
  <c r="D72" i="71"/>
  <c r="E37" i="71"/>
  <c r="E72" i="71" s="1"/>
  <c r="E32" i="37"/>
  <c r="C67" i="37"/>
  <c r="I9" i="38"/>
  <c r="I34" i="61"/>
  <c r="G70" i="61"/>
  <c r="G35" i="61"/>
  <c r="G71" i="61" s="1"/>
  <c r="E66" i="62"/>
  <c r="F30" i="62"/>
  <c r="F66" i="62" s="1"/>
  <c r="E68" i="65"/>
  <c r="N32" i="65"/>
  <c r="F30" i="64"/>
  <c r="C66" i="64"/>
  <c r="E66" i="37"/>
  <c r="F31" i="37"/>
  <c r="F66" i="37" s="1"/>
  <c r="C67" i="62"/>
  <c r="E31" i="62"/>
  <c r="D68" i="65"/>
  <c r="M32" i="65"/>
  <c r="E31" i="64"/>
  <c r="E67" i="64" s="1"/>
  <c r="P67" i="65"/>
  <c r="N67" i="65"/>
  <c r="D31" i="64"/>
  <c r="D67" i="64" s="1"/>
  <c r="H69" i="70"/>
  <c r="H34" i="70"/>
  <c r="H70" i="70" s="1"/>
  <c r="I69" i="61"/>
  <c r="C32" i="62"/>
  <c r="F68" i="65"/>
  <c r="O32" i="65"/>
  <c r="O68" i="65" s="1"/>
  <c r="F66" i="64" l="1"/>
  <c r="G30" i="64"/>
  <c r="G66" i="64" s="1"/>
  <c r="M33" i="65"/>
  <c r="D69" i="65"/>
  <c r="D34" i="65"/>
  <c r="D70" i="65" s="1"/>
  <c r="C69" i="27"/>
  <c r="E33" i="27"/>
  <c r="C34" i="27"/>
  <c r="C70" i="27" s="1"/>
  <c r="F31" i="64"/>
  <c r="C67" i="64"/>
  <c r="J69" i="65"/>
  <c r="J34" i="65"/>
  <c r="J70" i="65" s="1"/>
  <c r="G69" i="65"/>
  <c r="P33" i="65"/>
  <c r="G34" i="65"/>
  <c r="G70" i="65" s="1"/>
  <c r="F30" i="31"/>
  <c r="F66" i="31" s="1"/>
  <c r="E66" i="31"/>
  <c r="N33" i="65"/>
  <c r="E69" i="65"/>
  <c r="E34" i="65"/>
  <c r="E70" i="65" s="1"/>
  <c r="C32" i="64"/>
  <c r="M68" i="65"/>
  <c r="E34" i="63"/>
  <c r="C70" i="63"/>
  <c r="C35" i="63"/>
  <c r="C71" i="63" s="1"/>
  <c r="E33" i="37"/>
  <c r="C68" i="37"/>
  <c r="C34" i="37"/>
  <c r="C69" i="37" s="1"/>
  <c r="O33" i="65"/>
  <c r="F69" i="65"/>
  <c r="F34" i="65"/>
  <c r="F70" i="65" s="1"/>
  <c r="C33" i="62"/>
  <c r="I70" i="61"/>
  <c r="I35" i="61"/>
  <c r="I71" i="61" s="1"/>
  <c r="E32" i="62"/>
  <c r="C68" i="62"/>
  <c r="N68" i="65"/>
  <c r="D32" i="64"/>
  <c r="D68" i="64" s="1"/>
  <c r="I69" i="65"/>
  <c r="I34" i="65"/>
  <c r="I70" i="65" s="1"/>
  <c r="J33" i="70"/>
  <c r="I69" i="70"/>
  <c r="I34" i="70"/>
  <c r="I70" i="70" s="1"/>
  <c r="L69" i="65"/>
  <c r="L34" i="65"/>
  <c r="L70" i="65" s="1"/>
  <c r="E67" i="62"/>
  <c r="F31" i="62"/>
  <c r="F67" i="62" s="1"/>
  <c r="F32" i="37"/>
  <c r="F67" i="37" s="1"/>
  <c r="E67" i="37"/>
  <c r="C74" i="71"/>
  <c r="D39" i="71"/>
  <c r="C40" i="71"/>
  <c r="C75" i="71" s="1"/>
  <c r="E32" i="64"/>
  <c r="E68" i="64" s="1"/>
  <c r="P68" i="65"/>
  <c r="E68" i="27"/>
  <c r="C32" i="31"/>
  <c r="D73" i="71"/>
  <c r="E38" i="71"/>
  <c r="E73" i="71" s="1"/>
  <c r="E31" i="31"/>
  <c r="C67" i="31"/>
  <c r="K69" i="65"/>
  <c r="K34" i="65"/>
  <c r="K70" i="65" s="1"/>
  <c r="E69" i="63"/>
  <c r="F33" i="63"/>
  <c r="F69" i="63" s="1"/>
  <c r="P69" i="65" l="1"/>
  <c r="E33" i="64"/>
  <c r="P34" i="65"/>
  <c r="P70" i="65" s="1"/>
  <c r="O69" i="65"/>
  <c r="O34" i="65"/>
  <c r="O70" i="65" s="1"/>
  <c r="C68" i="64"/>
  <c r="F32" i="64"/>
  <c r="F31" i="31"/>
  <c r="F67" i="31" s="1"/>
  <c r="E67" i="31"/>
  <c r="D74" i="71"/>
  <c r="E39" i="71"/>
  <c r="D40" i="71"/>
  <c r="D75" i="71" s="1"/>
  <c r="E68" i="62"/>
  <c r="F32" i="62"/>
  <c r="F68" i="62" s="1"/>
  <c r="C33" i="64"/>
  <c r="M69" i="65"/>
  <c r="M34" i="65"/>
  <c r="M70" i="65" s="1"/>
  <c r="E32" i="31"/>
  <c r="C68" i="31"/>
  <c r="C33" i="31"/>
  <c r="E69" i="27"/>
  <c r="E34" i="27"/>
  <c r="E70" i="27" s="1"/>
  <c r="F33" i="37"/>
  <c r="E68" i="37"/>
  <c r="E34" i="37"/>
  <c r="E69" i="37" s="1"/>
  <c r="D33" i="64"/>
  <c r="N69" i="65"/>
  <c r="N34" i="65"/>
  <c r="N70" i="65" s="1"/>
  <c r="C69" i="62"/>
  <c r="E33" i="62"/>
  <c r="C34" i="62"/>
  <c r="C70" i="62" s="1"/>
  <c r="E70" i="63"/>
  <c r="F34" i="63"/>
  <c r="E35" i="63"/>
  <c r="E71" i="63" s="1"/>
  <c r="J69" i="70"/>
  <c r="J34" i="70"/>
  <c r="F67" i="64"/>
  <c r="G31" i="64"/>
  <c r="G67" i="64" s="1"/>
  <c r="F68" i="64" l="1"/>
  <c r="G32" i="64"/>
  <c r="G68" i="64" s="1"/>
  <c r="F33" i="62"/>
  <c r="E69" i="62"/>
  <c r="E34" i="62"/>
  <c r="E70" i="62" s="1"/>
  <c r="F68" i="37"/>
  <c r="F34" i="37"/>
  <c r="E74" i="71"/>
  <c r="E40" i="71"/>
  <c r="J70" i="70"/>
  <c r="C12" i="38"/>
  <c r="C69" i="31"/>
  <c r="E33" i="31"/>
  <c r="C34" i="31"/>
  <c r="C70" i="31" s="1"/>
  <c r="D69" i="64"/>
  <c r="D34" i="64"/>
  <c r="D70" i="64" s="1"/>
  <c r="F32" i="31"/>
  <c r="F68" i="31" s="1"/>
  <c r="E68" i="31"/>
  <c r="E69" i="64"/>
  <c r="E34" i="64"/>
  <c r="E70" i="64" s="1"/>
  <c r="F33" i="64"/>
  <c r="C69" i="64"/>
  <c r="C34" i="64"/>
  <c r="C70" i="64" s="1"/>
  <c r="F70" i="63"/>
  <c r="F35" i="63"/>
  <c r="C14" i="38" l="1"/>
  <c r="F69" i="37"/>
  <c r="F33" i="31"/>
  <c r="E69" i="31"/>
  <c r="E34" i="31"/>
  <c r="E70" i="31" s="1"/>
  <c r="I12" i="38"/>
  <c r="C27" i="38"/>
  <c r="F69" i="62"/>
  <c r="F34" i="62"/>
  <c r="F69" i="64"/>
  <c r="G33" i="64"/>
  <c r="F34" i="64"/>
  <c r="F70" i="64" s="1"/>
  <c r="F71" i="63"/>
  <c r="C5" i="38"/>
  <c r="E75" i="71"/>
  <c r="C19" i="38"/>
  <c r="F27" i="38" l="1"/>
  <c r="D43" i="38" s="1"/>
  <c r="E43" i="38" s="1"/>
  <c r="F43" i="38" s="1"/>
  <c r="C32" i="38"/>
  <c r="F6" i="25" s="1"/>
  <c r="E27" i="38"/>
  <c r="F69" i="31"/>
  <c r="F34" i="31"/>
  <c r="C4" i="38"/>
  <c r="I5" i="38"/>
  <c r="I19" i="38"/>
  <c r="C18" i="38"/>
  <c r="I18" i="38" s="1"/>
  <c r="G69" i="64"/>
  <c r="G34" i="64"/>
  <c r="C11" i="38"/>
  <c r="I11" i="38" s="1"/>
  <c r="F70" i="62"/>
  <c r="I14" i="38"/>
  <c r="C13" i="38"/>
  <c r="I13" i="38" s="1"/>
  <c r="C8" i="38" l="1"/>
  <c r="F70" i="31"/>
  <c r="E32" i="38"/>
  <c r="C43" i="38"/>
  <c r="I4" i="38"/>
  <c r="G70" i="64"/>
  <c r="C16" i="38"/>
  <c r="I16" i="38" l="1"/>
  <c r="C15" i="38"/>
  <c r="I15" i="38" s="1"/>
  <c r="C7" i="38"/>
  <c r="I8" i="38"/>
  <c r="C26" i="38"/>
  <c r="C31" i="38" l="1"/>
  <c r="F7" i="25" s="1"/>
  <c r="E26" i="38"/>
  <c r="F26" i="38"/>
  <c r="D42" i="38" s="1"/>
  <c r="E42" i="38" s="1"/>
  <c r="F42" i="38" s="1"/>
  <c r="C28" i="38"/>
  <c r="I7" i="38"/>
  <c r="C20" i="38"/>
  <c r="I20" i="38" l="1"/>
  <c r="C23" i="38"/>
  <c r="I23" i="38" s="1"/>
  <c r="C35" i="38"/>
  <c r="C33" i="38"/>
  <c r="F28" i="38"/>
  <c r="E28" i="38"/>
  <c r="E33" i="38" s="1"/>
  <c r="C42" i="38"/>
  <c r="E31" i="38"/>
</calcChain>
</file>

<file path=xl/comments1.xml><?xml version="1.0" encoding="utf-8"?>
<comments xmlns="http://schemas.openxmlformats.org/spreadsheetml/2006/main">
  <authors>
    <author>Ford, Kylie</author>
  </authors>
  <commentList>
    <comment ref="C1" authorId="0" shapeId="0">
      <text>
        <r>
          <rPr>
            <b/>
            <sz val="9"/>
            <color indexed="81"/>
            <rFont val="Tahoma"/>
            <family val="2"/>
          </rPr>
          <t>Ford, Kylie:</t>
        </r>
        <r>
          <rPr>
            <sz val="9"/>
            <color indexed="81"/>
            <rFont val="Tahoma"/>
            <family val="2"/>
          </rPr>
          <t xml:space="preserve">
Current idling is based upon the historic average hours of downtime (380 hours) for Manitowoc cranes currently owned by Associated Terminals, which operate 24 hours a day when unloading vessels. It is estimated that once the current cranes reach the end of their lifecycle in Year 20 (2016),crane downtime will increase by 2% per year. </t>
        </r>
      </text>
    </comment>
    <comment ref="D1" authorId="0" shapeId="0">
      <text>
        <r>
          <rPr>
            <b/>
            <sz val="9"/>
            <color indexed="81"/>
            <rFont val="Tahoma"/>
            <family val="2"/>
          </rPr>
          <t>Ford, Kylie:</t>
        </r>
        <r>
          <rPr>
            <sz val="9"/>
            <color indexed="81"/>
            <rFont val="Tahoma"/>
            <family val="2"/>
          </rPr>
          <t xml:space="preserve">
With Project idling assumes that the new, Gottwald crane will be 100% reliable for the first 10 years of the projects life, and will operate 24 hours a day when unloading or loading a vessel.  From Year 10 to Year 20, crane downtime, and therefore vessel idling, will increase linearly until reaching the estimated Year 20 downtime for a Gottwald crane in 2037. </t>
        </r>
      </text>
    </comment>
  </commentList>
</comments>
</file>

<file path=xl/comments2.xml><?xml version="1.0" encoding="utf-8"?>
<comments xmlns="http://schemas.openxmlformats.org/spreadsheetml/2006/main">
  <authors>
    <author>Ford, Kylie</author>
  </authors>
  <commentList>
    <comment ref="O4" authorId="0" shapeId="0">
      <text>
        <r>
          <rPr>
            <b/>
            <sz val="9"/>
            <color indexed="81"/>
            <rFont val="Tahoma"/>
            <family val="2"/>
          </rPr>
          <t>Ford, Kylie:</t>
        </r>
        <r>
          <rPr>
            <sz val="9"/>
            <color indexed="81"/>
            <rFont val="Tahoma"/>
            <family val="2"/>
          </rPr>
          <t xml:space="preserve">
Salary Estimates Provided By Associated Terminals
</t>
        </r>
      </text>
    </comment>
    <comment ref="Q6" authorId="0" shapeId="0">
      <text>
        <r>
          <rPr>
            <b/>
            <sz val="9"/>
            <color indexed="81"/>
            <rFont val="Tahoma"/>
            <family val="2"/>
          </rPr>
          <t>Ford, Kylie:</t>
        </r>
        <r>
          <rPr>
            <sz val="9"/>
            <color indexed="81"/>
            <rFont val="Tahoma"/>
            <family val="2"/>
          </rPr>
          <t xml:space="preserve">
The PPP Program Requires state that the true net employment benefits should decay linearly to $0 by the end of the project's life. </t>
        </r>
      </text>
    </comment>
  </commentList>
</comments>
</file>

<file path=xl/sharedStrings.xml><?xml version="1.0" encoding="utf-8"?>
<sst xmlns="http://schemas.openxmlformats.org/spreadsheetml/2006/main" count="1178" uniqueCount="445">
  <si>
    <t>Total</t>
  </si>
  <si>
    <t>State of Good Repairs</t>
  </si>
  <si>
    <t>Year</t>
  </si>
  <si>
    <t>Economic Competitiveness</t>
  </si>
  <si>
    <t>Safety</t>
  </si>
  <si>
    <t>Sustainability</t>
  </si>
  <si>
    <t>Total Benefits</t>
  </si>
  <si>
    <t>Total Cost</t>
  </si>
  <si>
    <t>BCA Score</t>
  </si>
  <si>
    <t>Project Life Cycle (years)</t>
  </si>
  <si>
    <t>Parameters used to estimate the BCA Score</t>
  </si>
  <si>
    <t>Value</t>
  </si>
  <si>
    <t>BCA Scores for the Different Components of the Project.
 Benefits and Costs expressed in (2010 Dollars x 1,000)</t>
  </si>
  <si>
    <t>Current Status / Baseline &amp; Problem to Be Addressed</t>
  </si>
  <si>
    <t>Change to Baseline / Alternatives</t>
  </si>
  <si>
    <t>Type of Impacts</t>
  </si>
  <si>
    <t>Population Affected by Impacts</t>
  </si>
  <si>
    <t>Economic Benefits</t>
  </si>
  <si>
    <t>Summary of Results</t>
  </si>
  <si>
    <t>Page Reference in BCA</t>
  </si>
  <si>
    <t>Truck Average Ton-Mile per Gallon</t>
  </si>
  <si>
    <t>Truck - Mile</t>
  </si>
  <si>
    <t>Fuel Savings (Gallons)</t>
  </si>
  <si>
    <t>Noise Pollution per Truck Mile (US$)</t>
  </si>
  <si>
    <t>Undiscounted Noise Pollution (US$)</t>
  </si>
  <si>
    <t>CPI-U U.S. Annual Average</t>
  </si>
  <si>
    <t>b/ Federal Railroad Administration. "Comparative Evaluation of Rail and Truck Fuel Efficiency on Competitive Corridors" Final Report written by ICF International. November 19, 2009</t>
  </si>
  <si>
    <t>TOTAL</t>
  </si>
  <si>
    <t>Page 3 - 21</t>
  </si>
  <si>
    <t>Quality of Life</t>
  </si>
  <si>
    <t>1st Quarter - 2017</t>
  </si>
  <si>
    <t>2nd Quarter - 2017</t>
  </si>
  <si>
    <t>3rd Quarter - 2017</t>
  </si>
  <si>
    <t>Benefit Discount Rate (Percent)</t>
  </si>
  <si>
    <t>Discounted Annual Noise Pollution (US$ 2015)</t>
  </si>
  <si>
    <t xml:space="preserve">No Crane Reliability </t>
  </si>
  <si>
    <t xml:space="preserve">Crane Reliability </t>
  </si>
  <si>
    <t xml:space="preserve">Change in Reliability </t>
  </si>
  <si>
    <t>Reduction in Fuel Consumption (tons/year)*</t>
  </si>
  <si>
    <t>Reduction in Nox (tons/year)*</t>
  </si>
  <si>
    <t>Reduction in Sox (tons/year)*</t>
  </si>
  <si>
    <t>Reduction in CO2 (tons/year)*</t>
  </si>
  <si>
    <t>Reduction in PM (tons/year)*</t>
  </si>
  <si>
    <t>Cost of Fuel Consumption**</t>
  </si>
  <si>
    <t xml:space="preserve">Social Cost per Metric Ton </t>
  </si>
  <si>
    <t>Reduction in Vessel Idling with Crane (Hours)</t>
  </si>
  <si>
    <t>DP03: SELECTED ECONOMIC CHARACTERISTICS</t>
  </si>
  <si>
    <t>Subject</t>
  </si>
  <si>
    <t>United States</t>
  </si>
  <si>
    <t>Louisiana</t>
  </si>
  <si>
    <t>    Civilian labor force</t>
  </si>
  <si>
    <t>      Percent Unemployed</t>
  </si>
  <si>
    <t>INDUSTRY</t>
  </si>
  <si>
    <t>    Civilian employed population 16 years and over</t>
  </si>
  <si>
    <t>      Agriculture, forestry, fishing and hunting, and mining</t>
  </si>
  <si>
    <t>      Construction</t>
  </si>
  <si>
    <t>      Manufacturing</t>
  </si>
  <si>
    <t>      Wholesale trade</t>
  </si>
  <si>
    <t>      Retail trade</t>
  </si>
  <si>
    <t>      Transportation and warehousing, and utilities</t>
  </si>
  <si>
    <t>      Information</t>
  </si>
  <si>
    <t>      Finance and insurance, and real estate and rental and leasing</t>
  </si>
  <si>
    <t>      Professional, scientific, and management, and administrative and waste management services</t>
  </si>
  <si>
    <t>      Educational services, and health care and social assistance</t>
  </si>
  <si>
    <t>      Arts, entertainment, and recreation, and accommodation and food services</t>
  </si>
  <si>
    <t>      Other services, except public administration</t>
  </si>
  <si>
    <t>      Public administration</t>
  </si>
  <si>
    <t>      Median household income (dollars)</t>
  </si>
  <si>
    <t>      Per capita income (dollars)</t>
  </si>
  <si>
    <t>Total Population</t>
  </si>
  <si>
    <t xml:space="preserve">Percent of All People in Poverty </t>
  </si>
  <si>
    <t/>
  </si>
  <si>
    <t>Total Immediate Project Area</t>
  </si>
  <si>
    <t>Census Tract 706</t>
  </si>
  <si>
    <t>Census Tract 707</t>
  </si>
  <si>
    <t>Census Tract 708</t>
  </si>
  <si>
    <t>St. Charles Parish</t>
  </si>
  <si>
    <t>St. James Parish</t>
  </si>
  <si>
    <t>St. John the Baptist Parish</t>
  </si>
  <si>
    <t>Job-year Creation</t>
  </si>
  <si>
    <t>Direct &amp; Indirect Job-years</t>
  </si>
  <si>
    <t>Induced Job-years</t>
  </si>
  <si>
    <t>St. Charles Parish, Louisiana</t>
  </si>
  <si>
    <t>St. James Parish, Louisiana</t>
  </si>
  <si>
    <t>St. John the Baptist Parish, Louisiana</t>
  </si>
  <si>
    <t>Census Tract 706, St. John the Baptist Parish, Louisiana</t>
  </si>
  <si>
    <t>Census Tract 707, St. John the Baptist Parish, Louisiana</t>
  </si>
  <si>
    <t>Census Tract 708, St. John the Baptist Parish, Louisiana</t>
  </si>
  <si>
    <t>Total Adjacent Census Tracts</t>
  </si>
  <si>
    <t xml:space="preserve">    Total population</t>
  </si>
  <si>
    <t>White</t>
  </si>
  <si>
    <t xml:space="preserve">Percentage White </t>
  </si>
  <si>
    <t>Non White</t>
  </si>
  <si>
    <t>Percentage Non-White</t>
  </si>
  <si>
    <t>Hispanic or Latino (of any race)</t>
  </si>
  <si>
    <t>Percentage Hispanic or Latino</t>
  </si>
  <si>
    <t xml:space="preserve">Bunker Fuel (MGO) New Orleans Cost Per Ton </t>
  </si>
  <si>
    <t>Discounted Vessel Fuel Savings (US$ 2015)</t>
  </si>
  <si>
    <t>Fuel Consumption (Grams/KWHrs)</t>
  </si>
  <si>
    <t>Reduced Surface Transportation Fuel Consumption</t>
  </si>
  <si>
    <t>Reduced Bunker Fuel Consumption</t>
  </si>
  <si>
    <t>Reduced Noise</t>
  </si>
  <si>
    <t>Reduced Vessel Idling Emission Costs</t>
  </si>
  <si>
    <t>Reduced Surface Transportation Emission Costs</t>
  </si>
  <si>
    <t>Reduction in Fuel Consumption (Grams/Year)</t>
  </si>
  <si>
    <t>Diesel Cost ($ per Gallon)</t>
  </si>
  <si>
    <t>Value of Time Per Hour (US$)</t>
  </si>
  <si>
    <t>Travel Times Savings (US$)</t>
  </si>
  <si>
    <t>Discounted Travel Times Savings (US$ 2015)</t>
  </si>
  <si>
    <t>Crew Size (Persons)</t>
  </si>
  <si>
    <t xml:space="preserve">Time Savings due to Increased Crane Reliability (Hours) </t>
  </si>
  <si>
    <t>Social cost of Nox (US$)</t>
  </si>
  <si>
    <t>Social Cost of Sox (US$)</t>
  </si>
  <si>
    <t>Social Cost of PM (US$)</t>
  </si>
  <si>
    <t>Undiscounted Reduced Vessel Idling Emissions Costs (US$)</t>
  </si>
  <si>
    <t>4th Quarter - 2017</t>
  </si>
  <si>
    <t xml:space="preserve">Bunker Fuel Savings (Tons) </t>
  </si>
  <si>
    <r>
      <t xml:space="preserve">See </t>
    </r>
    <r>
      <rPr>
        <b/>
        <sz val="10"/>
        <color indexed="10"/>
        <rFont val="Times New Roman"/>
        <family val="1"/>
      </rPr>
      <t>Table 2</t>
    </r>
  </si>
  <si>
    <t>NOx (2016$)</t>
  </si>
  <si>
    <t>VOCs (2016$)</t>
  </si>
  <si>
    <t>PM - 2.5 (2016$)</t>
  </si>
  <si>
    <t>SOx (2016$)</t>
  </si>
  <si>
    <t>Discounted Reduced Vessel Idling Emissions Costs (US$ 2016)</t>
  </si>
  <si>
    <t>Access Bridge</t>
  </si>
  <si>
    <t>1st Quarter - 2018</t>
  </si>
  <si>
    <t>2nd Quarter - 2018</t>
  </si>
  <si>
    <t>3rd Quarter - 2018</t>
  </si>
  <si>
    <t>4th Quarter - 2018</t>
  </si>
  <si>
    <t>Cranes</t>
  </si>
  <si>
    <t>Residual Value</t>
  </si>
  <si>
    <t>Project Year</t>
  </si>
  <si>
    <t>Benefits</t>
  </si>
  <si>
    <t>Net Benefits:</t>
  </si>
  <si>
    <t>Source: http://www.bls.gov/cpi/cpid1701.pdf - Page 2</t>
  </si>
  <si>
    <t>Cranes &amp; Reinforcement</t>
  </si>
  <si>
    <t>Exports</t>
  </si>
  <si>
    <t>Imports</t>
  </si>
  <si>
    <t>Shipments</t>
  </si>
  <si>
    <t>Receipts</t>
  </si>
  <si>
    <t>Foreign</t>
  </si>
  <si>
    <t>Domestic</t>
  </si>
  <si>
    <t>5 year Growth Rate (12-16)</t>
  </si>
  <si>
    <t>10 Year Growth Rate (07-16)</t>
  </si>
  <si>
    <t>N/A</t>
  </si>
  <si>
    <t>3 year Growth Rate (14-16)</t>
  </si>
  <si>
    <t>Average tons per truck - Current (short tons)</t>
  </si>
  <si>
    <t>Average tons per truck - New Access bridge (short tons)</t>
  </si>
  <si>
    <t>Number of Trucks (Existing)</t>
  </si>
  <si>
    <t>Number of Trucks (New Access Bridge)</t>
  </si>
  <si>
    <t>VMT (Existing)</t>
  </si>
  <si>
    <t>VMT (New Access Bridge)</t>
  </si>
  <si>
    <t>Reduced VMT</t>
  </si>
  <si>
    <t>Distance Trucks Travel loading/unloading (Existing)</t>
  </si>
  <si>
    <t>Distance Trucks Travel loading/unloading (New Access Bridge)</t>
  </si>
  <si>
    <t>Reduced Ton-Miles</t>
  </si>
  <si>
    <t>BCR</t>
  </si>
  <si>
    <t>Time to Load 1 Truck (Existing, in Minutes)</t>
  </si>
  <si>
    <t>Time to Load 1 Truck (New Access Bridge, in Minutes)</t>
  </si>
  <si>
    <t>Time Savings in Hours due to Cargo Flow (Access Bridge)</t>
  </si>
  <si>
    <t>Reduced Truck VMT</t>
  </si>
  <si>
    <t>Reduced Bridge Maintenance Cost</t>
  </si>
  <si>
    <t>Discounted Reduced Maintenance Cost</t>
  </si>
  <si>
    <t>Pavement Maintenance Cost per Truck Mile</t>
  </si>
  <si>
    <t>Reduction in Truck VMT</t>
  </si>
  <si>
    <t>Existing Truck VMT</t>
  </si>
  <si>
    <t>Undiscounted Reduced Truck Emissions Costs (US$)</t>
  </si>
  <si>
    <t>Discounted Reduced Truck Emissions Costs (US$ 2016)</t>
  </si>
  <si>
    <t>Social Cost of VOCs (US$)</t>
  </si>
  <si>
    <t>Dock Reinforcement</t>
  </si>
  <si>
    <t>Useful Life</t>
  </si>
  <si>
    <t>Component</t>
  </si>
  <si>
    <t>Total Discounted Residual Value</t>
  </si>
  <si>
    <t>Tonnage</t>
  </si>
  <si>
    <t>Access Bridge Reduced Maintenance</t>
  </si>
  <si>
    <t>Cargo Tonnage</t>
  </si>
  <si>
    <t>Gottwald Energy Cost</t>
  </si>
  <si>
    <t>Undiscounted Energy Operation Savings</t>
  </si>
  <si>
    <t>Discounted Energy Operations Savings</t>
  </si>
  <si>
    <t>Existing Cranes, Hours to Unload</t>
  </si>
  <si>
    <t>New Cranes, Hours to Unload</t>
  </si>
  <si>
    <t>Time Savings of Crane Operator &amp; Vessel Crew</t>
  </si>
  <si>
    <t>Value of Time savings of Crane Operator</t>
  </si>
  <si>
    <t>Value of Time Savings of Vessel Crew</t>
  </si>
  <si>
    <t>Total Undiscounted Time Savings of Crane Efficiency Improvements</t>
  </si>
  <si>
    <t>Total Discounted Time Savings of Crane Efficiency Improvements</t>
  </si>
  <si>
    <t>Vessel Crew Travel Times Savings (Crane Reliability)</t>
  </si>
  <si>
    <t>Truck Driver Travel Times Savings (Bridge Improvements)</t>
  </si>
  <si>
    <t>Vessel Crew &amp; Crane Operator Travel Time Savings (Crane Efficiency)</t>
  </si>
  <si>
    <t>Access Bridge Safety Improvements</t>
  </si>
  <si>
    <t>PDO Accident</t>
  </si>
  <si>
    <t xml:space="preserve">Injury Accidents </t>
  </si>
  <si>
    <t xml:space="preserve">Fatal Accidents </t>
  </si>
  <si>
    <t>AIS 1</t>
  </si>
  <si>
    <t>AIS 2</t>
  </si>
  <si>
    <t>AIS 3</t>
  </si>
  <si>
    <t>AIS 4</t>
  </si>
  <si>
    <t>AIS 5</t>
  </si>
  <si>
    <t>AIS 6</t>
  </si>
  <si>
    <t xml:space="preserve">Value of Crashes </t>
  </si>
  <si>
    <t>Large Truck Accident per VMT</t>
  </si>
  <si>
    <t>Injury Crashes by AIS Likeliness</t>
  </si>
  <si>
    <t>Fatality Crashes by AIS Likeliness</t>
  </si>
  <si>
    <t>Total Cost per VMT</t>
  </si>
  <si>
    <t>Undiscounted Large Truck , Reduction in Crash Costs</t>
  </si>
  <si>
    <t>Discounted Large Truck , Reduction in Crash Costs</t>
  </si>
  <si>
    <t>Table 11: Detailed Cost Estimate</t>
  </si>
  <si>
    <t>Item Description</t>
  </si>
  <si>
    <t>Quantity</t>
  </si>
  <si>
    <t>Unit of Measure</t>
  </si>
  <si>
    <t>Unit Cost</t>
  </si>
  <si>
    <t>Item Total</t>
  </si>
  <si>
    <t xml:space="preserve">Railing </t>
  </si>
  <si>
    <t>Lump</t>
  </si>
  <si>
    <t>120' Long Piles</t>
  </si>
  <si>
    <t>Each</t>
  </si>
  <si>
    <t>Bents</t>
  </si>
  <si>
    <t>8" Slabs</t>
  </si>
  <si>
    <t>70' Girders</t>
  </si>
  <si>
    <t>Incidentals</t>
  </si>
  <si>
    <t>Rehabilitation of Bridge</t>
  </si>
  <si>
    <t>Contingency (10%)</t>
  </si>
  <si>
    <t>Subtotal – Access Bridge Construction</t>
  </si>
  <si>
    <t>Subtotal – Access Bridge Design</t>
  </si>
  <si>
    <t>Contingency (25%)</t>
  </si>
  <si>
    <t>Dock Modifications</t>
  </si>
  <si>
    <t>Contingency</t>
  </si>
  <si>
    <t>Subtotal – Dock Reinforcement Construction</t>
  </si>
  <si>
    <t>Subtotal – Dock Reinforcement Design</t>
  </si>
  <si>
    <t>Terex-Gottwald 6407 Series Crane</t>
  </si>
  <si>
    <t>Installation</t>
  </si>
  <si>
    <t>Subtotal – Cranes Construction</t>
  </si>
  <si>
    <t>Subtotal – Cranes Design</t>
  </si>
  <si>
    <t xml:space="preserve">PROJECT TOTAL: </t>
  </si>
  <si>
    <t>Design</t>
  </si>
  <si>
    <t>Construction</t>
  </si>
  <si>
    <t>Dock / cranes</t>
  </si>
  <si>
    <t xml:space="preserve">Access Bridge </t>
  </si>
  <si>
    <t>Dock /Cranes</t>
  </si>
  <si>
    <t>Grand Total</t>
  </si>
  <si>
    <t xml:space="preserve">Total Undiscounted </t>
  </si>
  <si>
    <t>Discounted Dock Reinforcement</t>
  </si>
  <si>
    <t>Discounted Cranes</t>
  </si>
  <si>
    <t>Discounted Access Bridge</t>
  </si>
  <si>
    <t>2011-2015 American Community Survey 5-Year Estimates</t>
  </si>
  <si>
    <t xml:space="preserve">Economically Distressed Threshold </t>
  </si>
  <si>
    <t>Households</t>
  </si>
  <si>
    <t>TOTAL – Dock Reinforcement</t>
  </si>
  <si>
    <t>TOTAL - Cranes</t>
  </si>
  <si>
    <t>Costs</t>
  </si>
  <si>
    <t>Benefits (In Millions)</t>
  </si>
  <si>
    <t>Costs (In Millions)</t>
  </si>
  <si>
    <t>Total Inbound (Short Tons)</t>
  </si>
  <si>
    <t>Total Outbound (Short Tons)</t>
  </si>
  <si>
    <t>Grand Total (Short Tons)</t>
  </si>
  <si>
    <t xml:space="preserve">Existing dilapidated gantry cranes require maintenance and induce 24 hours of downtime approximately 1-2 times monthly.
Existing gantry cranes load minimal tons per hour. </t>
  </si>
  <si>
    <t xml:space="preserve">Crane efficiency and reliability increases. </t>
  </si>
  <si>
    <t xml:space="preserve">Small trucks transporting cargo from the dock to warehouses and staging facilities are loaded only partially full due to the low capacity of the existing dock access bridge. In the event of maintenance, there is no other access to the dock. </t>
  </si>
  <si>
    <t xml:space="preserve">A second dock access bridge is constructed with the ability to withstand heavier hauls, such as large, fully loaded trucks. </t>
  </si>
  <si>
    <t xml:space="preserve">Reduced VMT due to more efficiently loaded trucks. Reduced loading and unloading delay. </t>
  </si>
  <si>
    <r>
      <t xml:space="preserve">Residents immediately adjacent to Globalplex experience cleaner air due to reduced emissions. Adjacent US Census Tracts have a total population of: 8,415. See </t>
    </r>
    <r>
      <rPr>
        <b/>
        <sz val="8"/>
        <color indexed="10"/>
        <rFont val="Times New Roman"/>
        <family val="1"/>
      </rPr>
      <t>Table 23</t>
    </r>
    <r>
      <rPr>
        <sz val="8"/>
        <rFont val="Times New Roman"/>
        <family val="1"/>
      </rPr>
      <t xml:space="preserve"> for additional socioeconomic details. </t>
    </r>
  </si>
  <si>
    <t>Globalplex Intermodal Efficiency Improvements Project</t>
  </si>
  <si>
    <t>Input</t>
  </si>
  <si>
    <t xml:space="preserve">TOTAL: </t>
  </si>
  <si>
    <t>TOTAL:</t>
  </si>
  <si>
    <t>Truck Trips 
(Existing)</t>
  </si>
  <si>
    <t>Truck Trips 
(New Access Bridge)</t>
  </si>
  <si>
    <t>Existing Crane Downtown 
(Days)</t>
  </si>
  <si>
    <t>New Crane Downtime 
(Days)</t>
  </si>
  <si>
    <t>Reduction in Vessel Idling with Crane 
(Hours)</t>
  </si>
  <si>
    <t>Crane Maintenance Reduction 
(Undiscounted)</t>
  </si>
  <si>
    <t>Discounted Travel Times Savings (US$ 2016)</t>
  </si>
  <si>
    <t>Discounted Reduced Vessel Idling Emissions Costs 
(US$ 2016)</t>
  </si>
  <si>
    <t xml:space="preserve">Total Discounted </t>
  </si>
  <si>
    <t xml:space="preserve">Design </t>
  </si>
  <si>
    <t>1st Quarter - 2019</t>
  </si>
  <si>
    <t>2nd Quarter - 2019</t>
  </si>
  <si>
    <t>3rd Quarter - 2019</t>
  </si>
  <si>
    <t>4th Quarter - 2019</t>
  </si>
  <si>
    <t xml:space="preserve">Throughput can be loaded and unloaded faster. Vessel idling and delay is reduced. Cargo throughput is reliable. </t>
  </si>
  <si>
    <t>New Truck VMT</t>
  </si>
  <si>
    <t>Manitowoc Cranes Maintenance Cost</t>
  </si>
  <si>
    <t xml:space="preserve">Gottwald Cranes Maintenance Cost </t>
  </si>
  <si>
    <t>Discounted Crane Maintenance Reduction</t>
  </si>
  <si>
    <t>Manitowoc Energy Cost</t>
  </si>
  <si>
    <t>Total Undiscounted Residual Value</t>
  </si>
  <si>
    <t>Access Road with Ramp</t>
  </si>
  <si>
    <t>Subtotal – Inter-facility Access Road Construction</t>
  </si>
  <si>
    <t>Subtotal – Inter-facility Access Road Design</t>
  </si>
  <si>
    <t>Subtotal - Access Road</t>
  </si>
  <si>
    <t>Subtotal- Access Bridge</t>
  </si>
  <si>
    <t>TOTAL – Access Bridge &amp; Road Construction</t>
  </si>
  <si>
    <t>TOTAL – Access Bridge &amp; Road Design</t>
  </si>
  <si>
    <t>TOTAL- Access Bridge &amp; Road</t>
  </si>
  <si>
    <t>Access Bridge &amp; Inter-facilty Heavy-Load Access Road</t>
  </si>
  <si>
    <t>Item</t>
  </si>
  <si>
    <t>TIGER Funds</t>
  </si>
  <si>
    <t>Match Funds</t>
  </si>
  <si>
    <t>Amount</t>
  </si>
  <si>
    <t>%</t>
  </si>
  <si>
    <t>Source</t>
  </si>
  <si>
    <t>Engineering</t>
  </si>
  <si>
    <t>and Design</t>
  </si>
  <si>
    <t>Total Funding Amount</t>
  </si>
  <si>
    <t>% of Total</t>
  </si>
  <si>
    <t>Requested TIGER Funding</t>
  </si>
  <si>
    <t>Port Priority Program Funding</t>
  </si>
  <si>
    <t>POSL PPP Local Match</t>
  </si>
  <si>
    <t>TOTAL PROJECT COST</t>
  </si>
  <si>
    <t>Project Costs</t>
  </si>
  <si>
    <t>Totals</t>
  </si>
  <si>
    <t>Design/NEPA</t>
  </si>
  <si>
    <t>TOTALS</t>
  </si>
  <si>
    <t>Project Total</t>
  </si>
  <si>
    <t xml:space="preserve">Funds Anticipated to be Spent Prior to Agreement </t>
  </si>
  <si>
    <t>Eligible Funds</t>
  </si>
  <si>
    <t>Capital Outlay CEA with the State of  LA**</t>
  </si>
  <si>
    <t>POSL Capital Outlay Local Match**</t>
  </si>
  <si>
    <t>Table 2: Globalplex Intermodal Efficiency Improvements Project TIGER and Matching Funds</t>
  </si>
  <si>
    <t>Table 3: Globalplex Intermodal Efficiency Improvements Project TIGER and Matching Funds</t>
  </si>
  <si>
    <r>
      <t>Table 4: Globalplex Intermodal Efficiency Improvements Project</t>
    </r>
    <r>
      <rPr>
        <b/>
        <i/>
        <sz val="10"/>
        <rFont val="Times New Roman"/>
        <family val="1"/>
      </rPr>
      <t xml:space="preserve"> </t>
    </r>
    <r>
      <rPr>
        <b/>
        <sz val="10"/>
        <rFont val="Times New Roman"/>
        <family val="1"/>
      </rPr>
      <t xml:space="preserve"> Funding Amounts</t>
    </r>
  </si>
  <si>
    <t>Table 14: Project Schedule - Spending</t>
  </si>
  <si>
    <t>Per capita income (dollars)</t>
  </si>
  <si>
    <t>Table 1: Area Population Demographics</t>
  </si>
  <si>
    <t>Topic</t>
  </si>
  <si>
    <t>Male</t>
  </si>
  <si>
    <t>Female</t>
  </si>
  <si>
    <t>Black</t>
  </si>
  <si>
    <t>American Indian/Alaska Native</t>
  </si>
  <si>
    <t>Asian</t>
  </si>
  <si>
    <t>Native Hawaiian/Pacific Islander</t>
  </si>
  <si>
    <t>Two or more races</t>
  </si>
  <si>
    <t>Hispanic</t>
  </si>
  <si>
    <t>High School Graduate or Higher</t>
  </si>
  <si>
    <t>Bachelor’s Degree or Higher</t>
  </si>
  <si>
    <t>Persons in Poverty</t>
  </si>
  <si>
    <t>Source:  US Census Bureau, 2015 ACS 5-year Estimates</t>
  </si>
  <si>
    <t>Direct Employment Benefits (Added Jobs)</t>
  </si>
  <si>
    <t xml:space="preserve">Salary per Employees by Classification </t>
  </si>
  <si>
    <t>Laborers</t>
  </si>
  <si>
    <t>Equipment Operators</t>
  </si>
  <si>
    <t xml:space="preserve">Supervisors </t>
  </si>
  <si>
    <t xml:space="preserve">Crane Operators </t>
  </si>
  <si>
    <t xml:space="preserve">Number of Staff, by Classification </t>
  </si>
  <si>
    <t>Payroll Effects, by Classification</t>
  </si>
  <si>
    <t>Project year</t>
  </si>
  <si>
    <t>Date</t>
  </si>
  <si>
    <t>Sub-Total Employment Benefits</t>
  </si>
  <si>
    <t xml:space="preserve">Discounted Employment Benefits </t>
  </si>
  <si>
    <t>Direct Construction Jobs</t>
  </si>
  <si>
    <t>Indirect Consturction Jobs</t>
  </si>
  <si>
    <t>Direct &amp; Indirect Construction Jobs</t>
  </si>
  <si>
    <t>Induced Construction Jobs</t>
  </si>
  <si>
    <t>Cargo (Short tons)</t>
  </si>
  <si>
    <t>Travel Time 
(Existing flow of cargo, in Minutes)</t>
  </si>
  <si>
    <t>Travel Time 
(New Access Bridge, in Minutes)</t>
  </si>
  <si>
    <t>Total Travel Time 
(Existing, In Minutes)</t>
  </si>
  <si>
    <t>Total Travel Time (New Access bridge, In Minutes)</t>
  </si>
  <si>
    <t>Travel Time Savings (Minutes)</t>
  </si>
  <si>
    <t>Average Miles per Gallon (Heavy Duty Trucks)</t>
  </si>
  <si>
    <t>Reduction in Fuel Consumption ( Short tons/year)*</t>
  </si>
  <si>
    <t>Existing NOx (Short Tons)</t>
  </si>
  <si>
    <t>Existing VOCs (Short Tons)</t>
  </si>
  <si>
    <t>Existing CO (Short Tons)</t>
  </si>
  <si>
    <t>Existing PM (Short Tons)</t>
  </si>
  <si>
    <t>New Nox (Short Tons)</t>
  </si>
  <si>
    <t>new VOCs (Short Tons)</t>
  </si>
  <si>
    <t>New CO 
(Short Tons)</t>
  </si>
  <si>
    <t>New PM 
(Short Tons)</t>
  </si>
  <si>
    <t>Reduction in Nox 
(Short Tons)</t>
  </si>
  <si>
    <t>Reduction in VOCs 
(Short Tons)</t>
  </si>
  <si>
    <t>Reduction in CO 
(Short Tons)</t>
  </si>
  <si>
    <t>Reduction in PM 
(Short Tons)</t>
  </si>
  <si>
    <t>Undiscounted Additional Traffic Fuel Cost Savings</t>
  </si>
  <si>
    <t>Discounted  Additional Traffic Fuel Cost Savings</t>
  </si>
  <si>
    <t>Time Savings of Crane Operator &amp; Vessel Crew (Hours)</t>
  </si>
  <si>
    <t>Discounted Annual Noise Pollution (US$ 2016)</t>
  </si>
  <si>
    <t>Net Benefits</t>
  </si>
  <si>
    <t>BCA Change</t>
  </si>
  <si>
    <t>Adjusted BCA</t>
  </si>
  <si>
    <t>NPV of Net Benefits</t>
  </si>
  <si>
    <t>Change in NPV of Net Benefits</t>
  </si>
  <si>
    <t>Percent Change in NPV of Net Benefits</t>
  </si>
  <si>
    <t>Initial Analysis</t>
  </si>
  <si>
    <t>-</t>
  </si>
  <si>
    <t>3% Discount Rate</t>
  </si>
  <si>
    <t>Vessels have only 20 crew members</t>
  </si>
  <si>
    <t>Access Brige Only</t>
  </si>
  <si>
    <t>Cranes &amp; Reinfrocement Only</t>
  </si>
  <si>
    <t>Average Miles per Gallon Heavy Duty Trucks a/</t>
  </si>
  <si>
    <t>Highway Marginal Pavement Maintenance Cost (1997 US$ per truck mile) b/</t>
  </si>
  <si>
    <t>Highway Marginal Pavement Maintenance Cost (2016 US$ per truck mile) b/</t>
  </si>
  <si>
    <t>b/from the US. DOT, FHWA. May 2000 Addendum to the Federal Highway Cost Allocation Study Final Report, May 2000 (available at http://www.fhwa.dot.gov/policy/hcas/addendum.htm)</t>
  </si>
  <si>
    <t>Average price of gallon of diesel fuel c/</t>
  </si>
  <si>
    <t>c/  U.S. average price of gallon of diesel from the Energy Information Agency (as of October 9, 2017)</t>
  </si>
  <si>
    <t>d/ https://nepis.epa.gov/Exe/ZyNET.exe/P100EVY6.txt?ZyActionD=ZyDocument&amp;Client=EPA&amp;Index=2006%20Thru%202010&amp;Docs=&amp;Query=&amp;Time=&amp;EndTime=&amp;SearchMethod=1&amp;TocRestrict=n&amp;Toc=&amp;TocEntry=&amp;QField=&amp;QFieldYear=&amp;QFieldMonth=&amp;QFieldDay=&amp;UseQField=&amp;IntQFieldOp=0&amp;ExtQFieldOp=0&amp;XmlQuery=&amp;File=D%3A%5CZYFILES%5CINDEX%20DATA%5C06THRU10%5CTXT%5C00000033%5CP100EVY6.txt&amp;User=ANONYMOUS&amp;Password=anonymous&amp;SortMethod=h%7C-&amp;MaximumDocuments=1&amp;FuzzyDegree=0&amp;ImageQuality=r75g8/r75g8/x150y150g16/i425&amp;Display=hpfr&amp;DefSeekPage=x&amp;SearchBack=ZyActionL&amp;Back=ZyActionS&amp;BackDesc=Results%20page&amp;MaximumPages=1&amp;ZyEntry=5</t>
  </si>
  <si>
    <t>a/ US DOT RITA Table 4-13</t>
  </si>
  <si>
    <t>Truck VOC emissions (grams per mile)- Existing (VIIIa) d/</t>
  </si>
  <si>
    <t>Truck THC emissions (grams per mile) - Existing (VIIIa)d/</t>
  </si>
  <si>
    <t>Truck CO emissions (grams per mile) - Existing (VIIIa)d/</t>
  </si>
  <si>
    <t>Truck NOx emissions (grams per mile) - Existing (VIIIa)d/</t>
  </si>
  <si>
    <t>Truck PM2.5 emissions (grams per mile) - Existing (VIIIa)d/</t>
  </si>
  <si>
    <t>Truck VOC emissions (grams per mile) - New Access Bridge (VIIIb)d/</t>
  </si>
  <si>
    <t>Truck THC emissions (grams per mile)- New Access Bridge (VIIIb)d/</t>
  </si>
  <si>
    <t>Truck CO emissions (grams per mile)- New Access Bridge (VIIIb)d/</t>
  </si>
  <si>
    <t>Truck NOx emissions (grams per mile)- New Access Bridge (VIIIb)d/</t>
  </si>
  <si>
    <t>Truck PM2.5 emissions (grams per mile) - New Access Bridge (VIIIb)d/</t>
  </si>
  <si>
    <t>Truck Marginal Noise Pollution Cost (1997 US$ per truck-mile)e/</t>
  </si>
  <si>
    <t>Truck Marginal Noise Pollution Cost (2016 US$ per truck-mile)e/</t>
  </si>
  <si>
    <t>Hotel Loading Hourly Fuel Consumption of ocean going vessels (g/kwh) f/</t>
  </si>
  <si>
    <t>Hotel Loading Hourly NOx Emissions of ocean going vessels (g/kwh) f/</t>
  </si>
  <si>
    <t>Hotel Loading Hourly SOx Emissions of ocean going vessels  (g/kwh) f/</t>
  </si>
  <si>
    <t>Hotel Loading Hourly CO2 Emissions of ocean going vessels (g/kwh) f/</t>
  </si>
  <si>
    <t>Hotel Loading Hourly PM Emissions of ocean going vessels (g/kwh) f/</t>
  </si>
  <si>
    <t>g/ The typical vessel hotel load is 3,000 KW per hour. MARAD http://infohouse.p2ric.org/ref/46/45783.pdf</t>
  </si>
  <si>
    <t>Average KW per Hour g/</t>
  </si>
  <si>
    <t>h/ Assumes vessel fuel is equal to the index for Bunker Fuel MGO in New Orleans on April 6, 2016
http://www.bunkerindex.com/prices/gulfmexico.php</t>
  </si>
  <si>
    <t>Bunker Fuel (MGO) Cost for New Orleans, LA h/</t>
  </si>
  <si>
    <t>Average Vessel Crew Size i/</t>
  </si>
  <si>
    <t>I/ The average crew size for Panamax vessels or bulkers</t>
  </si>
  <si>
    <t>BLS "Captains, Mates, and Pilots of Water Vessels" j/</t>
  </si>
  <si>
    <t>BLS "Motorboat Operators" j/</t>
  </si>
  <si>
    <t>BLS "Ship Engineers" j/</t>
  </si>
  <si>
    <t>BLS "Ship and Boat Captains and Operators" (Combined average) j/</t>
  </si>
  <si>
    <t>j/ https://www.bls.gov/oes/current/oes_nat.htm#53-0000</t>
  </si>
  <si>
    <t>BLS " Crane and Tower Operators" j/</t>
  </si>
  <si>
    <t>Gottwald, Maintenance Cost per Ton k/</t>
  </si>
  <si>
    <t>Manitowoc, Maintenance Cost per Ton k/</t>
  </si>
  <si>
    <t>Gottwald, Energy Cost per Ton k/</t>
  </si>
  <si>
    <t>Manitowoc, Energy Cost per Ton k/</t>
  </si>
  <si>
    <t>Gottwald, Tons per Working Hour k/</t>
  </si>
  <si>
    <t>Manitowoc, Tons per Working Hour k/</t>
  </si>
  <si>
    <t>k/ Associated Terminals feasibility analysis</t>
  </si>
  <si>
    <t>2015 Large Truck Fatal Crashes l/</t>
  </si>
  <si>
    <t xml:space="preserve">2015 Large Truck Injury Crashes l/ </t>
  </si>
  <si>
    <t>2015 Large Truck Miles Traveled l/</t>
  </si>
  <si>
    <t>L/ https://crashstats.nhtsa.dot.gov/Api/Public/ViewPublication/812373</t>
  </si>
  <si>
    <t>m/ from Notice of Funding Availability for the Department of Transportation’s National Infrastructure Investments Under the Full-Year Continuing Appropriations, 2015</t>
  </si>
  <si>
    <t>MAIS 1 m/</t>
  </si>
  <si>
    <t>MAIS 2 m/</t>
  </si>
  <si>
    <t>MAIS 3 m/</t>
  </si>
  <si>
    <t>MAIS 4 m/</t>
  </si>
  <si>
    <t>MAIS 5 m/</t>
  </si>
  <si>
    <t>MAIS 6 m/</t>
  </si>
  <si>
    <t>f/ Emission rates for transport vessels http://onlinelibrary.wiley.com/doi/10.1029/2003JD003751/pdf</t>
  </si>
  <si>
    <t>e/ from: Forkenbrock, D.J., 1999. External costs of intercity truck freight transportation. Transportation Research A 33 (7/8), p. 505-526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</si>
</sst>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0"/>
    <numFmt numFmtId="169" formatCode="0.000"/>
    <numFmt numFmtId="170" formatCode="0.0"/>
    <numFmt numFmtId="171" formatCode="&quot;$&quot;#,##0.00"/>
    <numFmt numFmtId="172" formatCode="&quot;$&quot;#,##0"/>
    <numFmt numFmtId="173" formatCode="&quot;$&quot;#,##0.0"/>
    <numFmt numFmtId="174" formatCode="&quot;$&quot;#,##0.0_);[Red]\(&quot;$&quot;#,##0.0\)"/>
    <numFmt numFmtId="175" formatCode="&quot;$&quot;#,##0.000"/>
    <numFmt numFmtId="176" formatCode="#,##0.000000000"/>
  </numFmts>
  <fonts count="41" x14ac:knownFonts="1">
    <font>
      <sz val="10"/>
      <name val="Arial"/>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0"/>
      <name val="Arial"/>
      <family val="2"/>
    </font>
    <font>
      <sz val="10"/>
      <name val="Arial"/>
      <family val="2"/>
    </font>
    <font>
      <sz val="12"/>
      <name val="Times New Roman"/>
      <family val="1"/>
    </font>
    <font>
      <b/>
      <sz val="12"/>
      <name val="Times New Roman"/>
      <family val="1"/>
    </font>
    <font>
      <b/>
      <sz val="9"/>
      <name val="Times New Roman"/>
      <family val="1"/>
    </font>
    <font>
      <sz val="9"/>
      <name val="Times New Roman"/>
      <family val="1"/>
    </font>
    <font>
      <b/>
      <sz val="11"/>
      <name val="Times New Roman"/>
      <family val="1"/>
    </font>
    <font>
      <sz val="11"/>
      <name val="Times New Roman"/>
      <family val="1"/>
    </font>
    <font>
      <b/>
      <sz val="9"/>
      <color indexed="81"/>
      <name val="Tahoma"/>
      <family val="2"/>
    </font>
    <font>
      <sz val="9"/>
      <color indexed="81"/>
      <name val="Tahoma"/>
      <family val="2"/>
    </font>
    <font>
      <b/>
      <sz val="10"/>
      <color indexed="10"/>
      <name val="Times New Roman"/>
      <family val="1"/>
    </font>
    <font>
      <sz val="8"/>
      <name val="Times New Roman"/>
      <family val="1"/>
    </font>
    <font>
      <b/>
      <sz val="8"/>
      <name val="Times New Roman"/>
      <family val="1"/>
    </font>
    <font>
      <b/>
      <sz val="10"/>
      <name val="Arial"/>
      <family val="2"/>
    </font>
    <font>
      <b/>
      <sz val="10"/>
      <color indexed="8"/>
      <name val="Times New Roman"/>
      <family val="1"/>
    </font>
    <font>
      <b/>
      <sz val="8"/>
      <color indexed="10"/>
      <name val="Times New Roman"/>
      <family val="1"/>
    </font>
    <font>
      <u/>
      <sz val="10"/>
      <name val="Times New Roman"/>
      <family val="1"/>
    </font>
    <font>
      <b/>
      <u/>
      <sz val="10"/>
      <name val="Times New Roman"/>
      <family val="1"/>
    </font>
    <font>
      <sz val="10"/>
      <color indexed="8"/>
      <name val="Times New Roman"/>
      <family val="1"/>
    </font>
    <font>
      <b/>
      <i/>
      <sz val="10"/>
      <name val="Times New Roman"/>
      <family val="1"/>
    </font>
    <font>
      <i/>
      <sz val="10"/>
      <name val="Times New Roman"/>
      <family val="1"/>
    </font>
    <font>
      <u/>
      <sz val="9"/>
      <color indexed="12"/>
      <name val="Times New Roman"/>
      <family val="1"/>
    </font>
    <font>
      <b/>
      <sz val="14"/>
      <color theme="1"/>
      <name val="Times New Roman"/>
      <family val="1"/>
    </font>
    <font>
      <sz val="10"/>
      <color rgb="FFFFFFFF"/>
      <name val="Times New Roman"/>
      <family val="1"/>
    </font>
    <font>
      <sz val="12"/>
      <color theme="0"/>
      <name val="Times New Roman"/>
      <family val="1"/>
    </font>
    <font>
      <sz val="10"/>
      <color rgb="FFFF0000"/>
      <name val="Times New Roman"/>
      <family val="1"/>
    </font>
    <font>
      <b/>
      <sz val="11"/>
      <color rgb="FF000000"/>
      <name val="Times New Roman"/>
      <family val="1"/>
    </font>
    <font>
      <b/>
      <sz val="11"/>
      <color theme="1"/>
      <name val="Times New Roman"/>
      <family val="1"/>
    </font>
    <font>
      <sz val="11"/>
      <color rgb="FF000000"/>
      <name val="Times New Roman"/>
      <family val="1"/>
    </font>
    <font>
      <b/>
      <u/>
      <sz val="11"/>
      <color rgb="FF000000"/>
      <name val="Times New Roman"/>
      <family val="1"/>
    </font>
    <font>
      <b/>
      <sz val="10"/>
      <color theme="1"/>
      <name val="Times New Roman"/>
      <family val="1"/>
    </font>
    <font>
      <sz val="10"/>
      <color rgb="FF000000"/>
      <name val="Times New Roman"/>
      <family val="1"/>
    </font>
    <font>
      <b/>
      <sz val="10"/>
      <color rgb="FF000000"/>
      <name val="Times New Roman"/>
      <family val="1"/>
    </font>
    <font>
      <sz val="9"/>
      <color rgb="FF000000"/>
      <name val="Times New Roman"/>
      <family val="1"/>
    </font>
    <font>
      <b/>
      <u/>
      <sz val="18"/>
      <color theme="1"/>
      <name val="Times New Roman"/>
      <family val="1"/>
    </font>
  </fonts>
  <fills count="12">
    <fill>
      <patternFill patternType="none"/>
    </fill>
    <fill>
      <patternFill patternType="gray125"/>
    </fill>
    <fill>
      <patternFill patternType="solid">
        <fgColor indexed="26"/>
      </patternFill>
    </fill>
    <fill>
      <patternFill patternType="solid">
        <fgColor indexed="9"/>
        <bgColor indexed="64"/>
      </patternFill>
    </fill>
    <fill>
      <patternFill patternType="solid">
        <fgColor rgb="FF002060"/>
        <bgColor indexed="64"/>
      </patternFill>
    </fill>
    <fill>
      <patternFill patternType="solid">
        <fgColor rgb="FFD9D9D9"/>
        <bgColor indexed="64"/>
      </patternFill>
    </fill>
    <fill>
      <patternFill patternType="solid">
        <fgColor rgb="FFBFBFBF"/>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2">
    <xf numFmtId="0" fontId="0" fillId="0" borderId="0"/>
    <xf numFmtId="43" fontId="1"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7" fillId="2" borderId="1" applyNumberFormat="0" applyFont="0" applyAlignment="0" applyProtection="0"/>
    <xf numFmtId="0" fontId="7" fillId="2" borderId="1" applyNumberFormat="0" applyFont="0" applyAlignment="0" applyProtection="0"/>
    <xf numFmtId="9" fontId="1" fillId="0" borderId="0" applyFont="0" applyFill="0" applyBorder="0" applyAlignment="0" applyProtection="0"/>
    <xf numFmtId="9" fontId="7" fillId="0" borderId="0" applyFont="0" applyFill="0" applyBorder="0" applyAlignment="0" applyProtection="0"/>
  </cellStyleXfs>
  <cellXfs count="676">
    <xf numFmtId="0" fontId="0" fillId="0" borderId="0" xfId="0"/>
    <xf numFmtId="0" fontId="4" fillId="0" borderId="0" xfId="0" applyFont="1"/>
    <xf numFmtId="0" fontId="4" fillId="0" borderId="0" xfId="0" applyFont="1" applyBorder="1"/>
    <xf numFmtId="0" fontId="4" fillId="0" borderId="0" xfId="0" applyFont="1" applyFill="1" applyBorder="1"/>
    <xf numFmtId="0" fontId="4" fillId="0" borderId="2" xfId="0" applyFont="1" applyBorder="1"/>
    <xf numFmtId="0" fontId="28" fillId="0" borderId="0" xfId="0" applyFont="1"/>
    <xf numFmtId="0" fontId="4" fillId="0" borderId="0" xfId="0" applyFont="1" applyFill="1"/>
    <xf numFmtId="165" fontId="11" fillId="0" borderId="2" xfId="1" applyNumberFormat="1" applyFont="1" applyFill="1" applyBorder="1" applyAlignment="1">
      <alignment horizontal="center"/>
    </xf>
    <xf numFmtId="165" fontId="11" fillId="0" borderId="2" xfId="1" applyNumberFormat="1" applyFont="1" applyFill="1" applyBorder="1"/>
    <xf numFmtId="3" fontId="11" fillId="0" borderId="2" xfId="0" applyNumberFormat="1" applyFont="1" applyFill="1" applyBorder="1"/>
    <xf numFmtId="3" fontId="4" fillId="0" borderId="2" xfId="0" applyNumberFormat="1" applyFont="1" applyFill="1" applyBorder="1"/>
    <xf numFmtId="1" fontId="13" fillId="0" borderId="2" xfId="0" applyNumberFormat="1" applyFont="1" applyFill="1" applyBorder="1"/>
    <xf numFmtId="0" fontId="4" fillId="0" borderId="2" xfId="0" applyFont="1" applyFill="1" applyBorder="1"/>
    <xf numFmtId="165" fontId="4" fillId="0" borderId="2" xfId="1" applyNumberFormat="1" applyFont="1" applyFill="1" applyBorder="1"/>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xf numFmtId="0" fontId="4" fillId="0" borderId="5" xfId="0" applyFont="1" applyBorder="1"/>
    <xf numFmtId="169" fontId="4" fillId="0" borderId="6" xfId="0" applyNumberFormat="1" applyFont="1" applyBorder="1"/>
    <xf numFmtId="0" fontId="4" fillId="0" borderId="5" xfId="0" applyFont="1" applyBorder="1" applyAlignment="1">
      <alignment horizontal="right"/>
    </xf>
    <xf numFmtId="169" fontId="4" fillId="0" borderId="6" xfId="0" applyNumberFormat="1" applyFont="1" applyBorder="1" applyAlignment="1">
      <alignment horizontal="right"/>
    </xf>
    <xf numFmtId="0" fontId="4" fillId="0" borderId="7" xfId="0" applyFont="1" applyBorder="1" applyAlignment="1">
      <alignment horizontal="right"/>
    </xf>
    <xf numFmtId="169" fontId="4" fillId="0" borderId="8" xfId="0" applyNumberFormat="1" applyFont="1" applyBorder="1" applyAlignment="1">
      <alignment horizontal="right"/>
    </xf>
    <xf numFmtId="171" fontId="4" fillId="0" borderId="2" xfId="0" applyNumberFormat="1" applyFont="1" applyFill="1" applyBorder="1"/>
    <xf numFmtId="0" fontId="5" fillId="0" borderId="5" xfId="0" applyFont="1" applyBorder="1" applyAlignment="1">
      <alignment horizontal="center" vertical="center" wrapText="1"/>
    </xf>
    <xf numFmtId="16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66" fontId="5" fillId="0" borderId="6" xfId="0" applyNumberFormat="1" applyFont="1" applyFill="1" applyBorder="1" applyAlignment="1">
      <alignment horizontal="center" vertical="center" wrapText="1"/>
    </xf>
    <xf numFmtId="172" fontId="4" fillId="0" borderId="2" xfId="0" applyNumberFormat="1" applyFont="1" applyBorder="1"/>
    <xf numFmtId="172" fontId="4" fillId="0" borderId="2" xfId="0" applyNumberFormat="1" applyFont="1" applyFill="1" applyBorder="1"/>
    <xf numFmtId="0" fontId="5" fillId="0" borderId="5" xfId="0" applyFont="1" applyBorder="1" applyAlignment="1">
      <alignment horizontal="center" vertical="center"/>
    </xf>
    <xf numFmtId="172" fontId="4" fillId="0" borderId="6" xfId="0" applyNumberFormat="1" applyFont="1" applyBorder="1"/>
    <xf numFmtId="172" fontId="5" fillId="0" borderId="0" xfId="0" applyNumberFormat="1" applyFont="1" applyBorder="1"/>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3" fontId="4" fillId="0" borderId="2" xfId="5" applyNumberFormat="1" applyFont="1" applyBorder="1" applyAlignment="1">
      <alignment horizontal="right" vertical="center"/>
    </xf>
    <xf numFmtId="9" fontId="4" fillId="0" borderId="2" xfId="10" applyFont="1" applyBorder="1"/>
    <xf numFmtId="3" fontId="4" fillId="0" borderId="2" xfId="0" applyNumberFormat="1" applyFont="1" applyBorder="1"/>
    <xf numFmtId="171" fontId="11" fillId="0" borderId="2" xfId="1" applyNumberFormat="1" applyFont="1" applyFill="1" applyBorder="1"/>
    <xf numFmtId="172" fontId="5" fillId="0" borderId="2" xfId="0" applyNumberFormat="1" applyFont="1" applyBorder="1"/>
    <xf numFmtId="171" fontId="11" fillId="0" borderId="2" xfId="1" applyNumberFormat="1" applyFont="1" applyFill="1" applyBorder="1" applyAlignment="1">
      <alignment horizontal="right" vertical="center"/>
    </xf>
    <xf numFmtId="171" fontId="4" fillId="0" borderId="2" xfId="0" applyNumberFormat="1" applyFont="1" applyBorder="1"/>
    <xf numFmtId="165" fontId="4" fillId="0" borderId="2" xfId="1" applyNumberFormat="1" applyFont="1" applyFill="1" applyBorder="1" applyAlignment="1">
      <alignment horizontal="center"/>
    </xf>
    <xf numFmtId="165" fontId="5" fillId="0" borderId="2" xfId="0" applyNumberFormat="1" applyFont="1" applyFill="1" applyBorder="1"/>
    <xf numFmtId="172" fontId="11" fillId="0" borderId="2" xfId="1" applyNumberFormat="1" applyFont="1" applyFill="1" applyBorder="1"/>
    <xf numFmtId="172" fontId="11" fillId="0" borderId="2" xfId="0" applyNumberFormat="1" applyFont="1" applyFill="1" applyBorder="1"/>
    <xf numFmtId="3" fontId="11" fillId="0" borderId="2" xfId="1" applyNumberFormat="1" applyFont="1" applyFill="1" applyBorder="1" applyAlignment="1">
      <alignment horizontal="right" vertical="center"/>
    </xf>
    <xf numFmtId="172" fontId="4" fillId="0" borderId="2" xfId="0" applyNumberFormat="1" applyFont="1" applyBorder="1" applyAlignment="1">
      <alignment horizontal="right" vertical="center"/>
    </xf>
    <xf numFmtId="172" fontId="5" fillId="0" borderId="2" xfId="0" applyNumberFormat="1" applyFont="1" applyBorder="1" applyAlignment="1">
      <alignment horizontal="right" vertical="center"/>
    </xf>
    <xf numFmtId="165" fontId="11" fillId="0" borderId="2" xfId="1" applyNumberFormat="1" applyFont="1" applyFill="1" applyBorder="1" applyAlignment="1">
      <alignment horizontal="right" vertical="center"/>
    </xf>
    <xf numFmtId="171" fontId="11" fillId="0" borderId="2" xfId="4" applyNumberFormat="1" applyFont="1" applyFill="1" applyBorder="1" applyAlignment="1">
      <alignment horizontal="right" vertical="center"/>
    </xf>
    <xf numFmtId="171" fontId="4" fillId="0" borderId="2" xfId="0" applyNumberFormat="1" applyFont="1" applyFill="1" applyBorder="1" applyAlignment="1">
      <alignment horizontal="right" vertical="center"/>
    </xf>
    <xf numFmtId="3" fontId="11" fillId="0" borderId="2" xfId="1" applyNumberFormat="1" applyFont="1" applyFill="1" applyBorder="1" applyAlignment="1">
      <alignment horizontal="right"/>
    </xf>
    <xf numFmtId="0" fontId="29" fillId="4" borderId="3" xfId="0" applyFont="1" applyFill="1" applyBorder="1" applyAlignment="1">
      <alignment vertical="center"/>
    </xf>
    <xf numFmtId="0" fontId="29" fillId="4" borderId="4" xfId="0" applyFont="1" applyFill="1" applyBorder="1" applyAlignment="1">
      <alignment vertical="center"/>
    </xf>
    <xf numFmtId="0" fontId="30" fillId="4" borderId="9" xfId="0" applyFont="1" applyFill="1" applyBorder="1" applyAlignment="1">
      <alignment horizontal="right" wrapText="1"/>
    </xf>
    <xf numFmtId="172" fontId="9" fillId="0" borderId="6" xfId="0" applyNumberFormat="1" applyFont="1" applyBorder="1"/>
    <xf numFmtId="1" fontId="4" fillId="0" borderId="2" xfId="0" applyNumberFormat="1" applyFont="1" applyBorder="1"/>
    <xf numFmtId="0" fontId="3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9" xfId="0" applyFont="1" applyBorder="1" applyAlignment="1">
      <alignment horizontal="center" vertical="center" wrapText="1"/>
    </xf>
    <xf numFmtId="0" fontId="4"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8" xfId="0" applyFont="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1" fontId="5" fillId="0" borderId="6" xfId="0" applyNumberFormat="1" applyFont="1" applyBorder="1"/>
    <xf numFmtId="0" fontId="12" fillId="0" borderId="7" xfId="0" applyFont="1" applyFill="1" applyBorder="1"/>
    <xf numFmtId="1" fontId="12" fillId="0" borderId="10" xfId="0" applyNumberFormat="1" applyFont="1" applyFill="1" applyBorder="1"/>
    <xf numFmtId="0" fontId="5" fillId="0" borderId="10" xfId="0" applyFont="1" applyBorder="1"/>
    <xf numFmtId="1" fontId="5" fillId="0" borderId="8" xfId="0" applyNumberFormat="1" applyFont="1" applyBorder="1"/>
    <xf numFmtId="0" fontId="4" fillId="0" borderId="7" xfId="0" applyFont="1" applyBorder="1"/>
    <xf numFmtId="1" fontId="4" fillId="0" borderId="0" xfId="0" applyNumberFormat="1" applyFont="1"/>
    <xf numFmtId="0" fontId="33"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Border="1"/>
    <xf numFmtId="172" fontId="4" fillId="0" borderId="0" xfId="0" applyNumberFormat="1" applyFont="1" applyBorder="1"/>
    <xf numFmtId="0" fontId="11" fillId="0" borderId="2" xfId="7" applyFont="1" applyFill="1" applyBorder="1" applyAlignment="1">
      <alignment horizontal="center" vertical="center" wrapText="1"/>
    </xf>
    <xf numFmtId="165" fontId="11" fillId="0" borderId="2" xfId="2" applyNumberFormat="1" applyFont="1" applyFill="1" applyBorder="1" applyAlignment="1">
      <alignment horizontal="center"/>
    </xf>
    <xf numFmtId="0" fontId="11" fillId="0" borderId="2" xfId="7" applyFont="1" applyFill="1" applyBorder="1" applyAlignment="1">
      <alignment horizontal="center" vertical="center"/>
    </xf>
    <xf numFmtId="172" fontId="4" fillId="0" borderId="2" xfId="1" applyNumberFormat="1" applyFont="1" applyFill="1" applyBorder="1" applyAlignment="1">
      <alignment horizontal="right"/>
    </xf>
    <xf numFmtId="172" fontId="4" fillId="0" borderId="2" xfId="0" applyNumberFormat="1" applyFont="1" applyBorder="1" applyAlignment="1">
      <alignment horizontal="right"/>
    </xf>
    <xf numFmtId="171" fontId="5" fillId="0" borderId="2" xfId="0" applyNumberFormat="1" applyFont="1" applyFill="1" applyBorder="1"/>
    <xf numFmtId="172" fontId="11" fillId="0" borderId="2" xfId="2" applyNumberFormat="1" applyFont="1" applyFill="1" applyBorder="1" applyAlignment="1">
      <alignment horizontal="right" vertical="center"/>
    </xf>
    <xf numFmtId="172" fontId="4" fillId="0" borderId="2" xfId="7" applyNumberFormat="1" applyFont="1" applyBorder="1" applyAlignment="1">
      <alignment horizontal="right" vertical="center"/>
    </xf>
    <xf numFmtId="0" fontId="8" fillId="0" borderId="2" xfId="0" applyFont="1" applyBorder="1" applyAlignment="1">
      <alignment vertical="center" wrapText="1"/>
    </xf>
    <xf numFmtId="0" fontId="8" fillId="0" borderId="5" xfId="0" applyFont="1" applyBorder="1" applyAlignment="1">
      <alignment vertical="center"/>
    </xf>
    <xf numFmtId="172" fontId="8" fillId="0" borderId="6" xfId="0" applyNumberFormat="1" applyFont="1" applyBorder="1"/>
    <xf numFmtId="0" fontId="4" fillId="0" borderId="5" xfId="0" applyFont="1" applyBorder="1" applyAlignment="1">
      <alignment vertical="top"/>
    </xf>
    <xf numFmtId="0" fontId="8" fillId="0" borderId="5" xfId="0" applyFont="1" applyBorder="1" applyAlignment="1">
      <alignment vertical="center" wrapText="1"/>
    </xf>
    <xf numFmtId="0" fontId="10" fillId="0" borderId="4" xfId="0" applyFont="1" applyFill="1" applyBorder="1" applyAlignment="1">
      <alignment horizontal="center" vertical="center" wrapText="1"/>
    </xf>
    <xf numFmtId="165" fontId="10" fillId="0" borderId="10" xfId="0" applyNumberFormat="1" applyFont="1" applyFill="1" applyBorder="1"/>
    <xf numFmtId="171" fontId="10" fillId="0" borderId="10" xfId="4" applyNumberFormat="1" applyFont="1" applyFill="1" applyBorder="1" applyAlignment="1">
      <alignment horizontal="right" vertical="center"/>
    </xf>
    <xf numFmtId="172" fontId="10" fillId="0" borderId="10" xfId="0" applyNumberFormat="1" applyFont="1" applyFill="1" applyBorder="1"/>
    <xf numFmtId="3" fontId="11" fillId="0" borderId="2" xfId="4" applyNumberFormat="1" applyFont="1" applyFill="1" applyBorder="1" applyAlignment="1">
      <alignment horizontal="right" vertical="center"/>
    </xf>
    <xf numFmtId="3" fontId="10" fillId="0" borderId="10" xfId="4" applyNumberFormat="1" applyFont="1" applyFill="1" applyBorder="1" applyAlignment="1">
      <alignment horizontal="right" vertical="center"/>
    </xf>
    <xf numFmtId="3" fontId="10" fillId="0" borderId="10" xfId="0" applyNumberFormat="1" applyFont="1" applyFill="1" applyBorder="1"/>
    <xf numFmtId="3" fontId="10" fillId="0" borderId="10" xfId="0" applyNumberFormat="1" applyFont="1" applyFill="1" applyBorder="1" applyAlignment="1">
      <alignment horizontal="right"/>
    </xf>
    <xf numFmtId="0" fontId="8" fillId="0" borderId="11" xfId="0" applyFont="1" applyBorder="1" applyAlignment="1">
      <alignment vertical="center" wrapText="1"/>
    </xf>
    <xf numFmtId="0" fontId="8" fillId="0" borderId="12" xfId="0" applyFont="1" applyBorder="1" applyAlignment="1">
      <alignment vertical="center" wrapText="1"/>
    </xf>
    <xf numFmtId="172" fontId="8" fillId="0" borderId="13" xfId="0" applyNumberFormat="1" applyFont="1" applyBorder="1"/>
    <xf numFmtId="3" fontId="11" fillId="0" borderId="2" xfId="2" applyNumberFormat="1" applyFont="1" applyFill="1" applyBorder="1" applyAlignment="1">
      <alignment horizontal="right" vertical="center"/>
    </xf>
    <xf numFmtId="3" fontId="4" fillId="0" borderId="2" xfId="7" applyNumberFormat="1" applyFont="1" applyBorder="1" applyAlignment="1">
      <alignment horizontal="right" vertical="center"/>
    </xf>
    <xf numFmtId="172" fontId="11" fillId="0" borderId="2" xfId="2" applyNumberFormat="1" applyFont="1" applyFill="1" applyBorder="1" applyAlignment="1">
      <alignment horizontal="right"/>
    </xf>
    <xf numFmtId="172" fontId="4" fillId="0" borderId="2" xfId="7" applyNumberFormat="1" applyFont="1" applyBorder="1" applyAlignment="1">
      <alignment horizontal="right"/>
    </xf>
    <xf numFmtId="0" fontId="5" fillId="0" borderId="0" xfId="7" applyFont="1" applyBorder="1" applyAlignment="1">
      <alignment horizontal="center" vertical="center" wrapText="1"/>
    </xf>
    <xf numFmtId="165" fontId="11" fillId="0" borderId="0" xfId="2" applyNumberFormat="1" applyFont="1" applyFill="1" applyBorder="1" applyAlignment="1">
      <alignment horizontal="center"/>
    </xf>
    <xf numFmtId="172" fontId="4" fillId="0" borderId="0" xfId="7" applyNumberFormat="1" applyFont="1" applyBorder="1"/>
    <xf numFmtId="172" fontId="5" fillId="0" borderId="0" xfId="7" applyNumberFormat="1" applyFont="1" applyBorder="1"/>
    <xf numFmtId="0" fontId="5" fillId="0" borderId="4" xfId="7" applyFont="1" applyBorder="1" applyAlignment="1">
      <alignment horizontal="center" vertical="center" wrapText="1"/>
    </xf>
    <xf numFmtId="0" fontId="5" fillId="0" borderId="9" xfId="7" applyFont="1" applyBorder="1" applyAlignment="1">
      <alignment horizontal="center" vertical="center" wrapText="1"/>
    </xf>
    <xf numFmtId="3" fontId="5" fillId="0" borderId="10" xfId="7" applyNumberFormat="1" applyFont="1" applyBorder="1"/>
    <xf numFmtId="172" fontId="5" fillId="0" borderId="10" xfId="7" applyNumberFormat="1" applyFont="1" applyBorder="1"/>
    <xf numFmtId="172" fontId="5" fillId="0" borderId="8" xfId="7" applyNumberFormat="1" applyFont="1" applyBorder="1"/>
    <xf numFmtId="172" fontId="11" fillId="0" borderId="6" xfId="2" applyNumberFormat="1" applyFont="1" applyFill="1" applyBorder="1" applyAlignment="1">
      <alignment horizontal="right"/>
    </xf>
    <xf numFmtId="172" fontId="4" fillId="0" borderId="6" xfId="7" applyNumberFormat="1" applyFont="1" applyBorder="1" applyAlignment="1">
      <alignment horizontal="right"/>
    </xf>
    <xf numFmtId="0" fontId="4" fillId="0" borderId="0" xfId="0" applyFont="1" applyAlignment="1">
      <alignment horizontal="center" wrapText="1"/>
    </xf>
    <xf numFmtId="0" fontId="13" fillId="0" borderId="0" xfId="0" applyFont="1"/>
    <xf numFmtId="0" fontId="32" fillId="5" borderId="14"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4" fillId="0" borderId="14" xfId="0" applyFont="1" applyBorder="1" applyAlignment="1">
      <alignment vertical="center" wrapText="1"/>
    </xf>
    <xf numFmtId="0" fontId="34" fillId="0" borderId="15" xfId="0" applyFont="1" applyBorder="1" applyAlignment="1">
      <alignment horizontal="center" vertical="center" wrapText="1"/>
    </xf>
    <xf numFmtId="6" fontId="34" fillId="0" borderId="15" xfId="0" applyNumberFormat="1" applyFont="1" applyBorder="1" applyAlignment="1">
      <alignment horizontal="right" vertical="center" wrapText="1"/>
    </xf>
    <xf numFmtId="0" fontId="34" fillId="0" borderId="15" xfId="0" applyFont="1" applyBorder="1" applyAlignment="1">
      <alignment horizontal="right" vertical="center" wrapText="1"/>
    </xf>
    <xf numFmtId="6" fontId="32" fillId="0" borderId="15" xfId="0" applyNumberFormat="1" applyFont="1" applyBorder="1" applyAlignment="1">
      <alignment horizontal="right" vertical="center" wrapText="1"/>
    </xf>
    <xf numFmtId="6" fontId="35" fillId="0" borderId="15" xfId="0" applyNumberFormat="1" applyFont="1" applyBorder="1" applyAlignment="1">
      <alignment horizontal="right" vertical="center" wrapText="1"/>
    </xf>
    <xf numFmtId="8" fontId="34" fillId="0" borderId="15" xfId="0" applyNumberFormat="1" applyFont="1" applyBorder="1" applyAlignment="1">
      <alignment horizontal="right" vertical="center" wrapText="1"/>
    </xf>
    <xf numFmtId="6" fontId="35" fillId="6" borderId="15" xfId="0" applyNumberFormat="1" applyFont="1" applyFill="1" applyBorder="1" applyAlignment="1">
      <alignment horizontal="right" vertical="center" wrapText="1"/>
    </xf>
    <xf numFmtId="6" fontId="13" fillId="0" borderId="0" xfId="0" applyNumberFormat="1" applyFont="1"/>
    <xf numFmtId="173" fontId="13" fillId="0" borderId="0" xfId="0" applyNumberFormat="1" applyFont="1"/>
    <xf numFmtId="172" fontId="13" fillId="0" borderId="0" xfId="0" applyNumberFormat="1" applyFont="1"/>
    <xf numFmtId="172" fontId="13" fillId="0" borderId="2" xfId="0" applyNumberFormat="1" applyFont="1" applyBorder="1"/>
    <xf numFmtId="172" fontId="13" fillId="0" borderId="6" xfId="0" applyNumberFormat="1" applyFont="1" applyBorder="1"/>
    <xf numFmtId="0" fontId="12" fillId="0" borderId="2" xfId="0" applyFont="1" applyBorder="1" applyAlignment="1">
      <alignment horizontal="center" vertical="center" wrapText="1"/>
    </xf>
    <xf numFmtId="172" fontId="12" fillId="0" borderId="2" xfId="0" applyNumberFormat="1" applyFont="1" applyBorder="1" applyAlignment="1">
      <alignment horizontal="center" vertical="center" wrapText="1"/>
    </xf>
    <xf numFmtId="172" fontId="12" fillId="0" borderId="6" xfId="0" applyNumberFormat="1" applyFont="1" applyBorder="1" applyAlignment="1">
      <alignment horizontal="center" vertical="center" wrapText="1"/>
    </xf>
    <xf numFmtId="0" fontId="19" fillId="0" borderId="0" xfId="0" applyFont="1"/>
    <xf numFmtId="0" fontId="10" fillId="0" borderId="4" xfId="7" applyFont="1" applyFill="1" applyBorder="1" applyAlignment="1">
      <alignment horizontal="center" vertical="center" wrapText="1"/>
    </xf>
    <xf numFmtId="172" fontId="12" fillId="0" borderId="10" xfId="0" applyNumberFormat="1" applyFont="1" applyBorder="1"/>
    <xf numFmtId="172" fontId="12" fillId="0" borderId="8" xfId="0" applyNumberFormat="1" applyFont="1" applyBorder="1"/>
    <xf numFmtId="165" fontId="11" fillId="0" borderId="6" xfId="2" applyNumberFormat="1" applyFont="1" applyFill="1" applyBorder="1" applyAlignment="1">
      <alignment horizontal="center"/>
    </xf>
    <xf numFmtId="172" fontId="11" fillId="0" borderId="6" xfId="2" applyNumberFormat="1" applyFont="1" applyFill="1" applyBorder="1" applyAlignment="1">
      <alignment horizontal="right" vertical="center"/>
    </xf>
    <xf numFmtId="172" fontId="4" fillId="0" borderId="6" xfId="7" applyNumberFormat="1" applyFont="1" applyBorder="1" applyAlignment="1">
      <alignment horizontal="right" vertical="center"/>
    </xf>
    <xf numFmtId="172" fontId="5" fillId="0" borderId="10" xfId="7" applyNumberFormat="1" applyFont="1" applyBorder="1" applyAlignment="1">
      <alignment horizontal="right" vertical="center"/>
    </xf>
    <xf numFmtId="172" fontId="5" fillId="0" borderId="8" xfId="7" applyNumberFormat="1" applyFont="1" applyBorder="1" applyAlignment="1">
      <alignment horizontal="right" vertical="center"/>
    </xf>
    <xf numFmtId="0" fontId="10" fillId="0" borderId="9" xfId="0" applyFont="1" applyFill="1" applyBorder="1" applyAlignment="1">
      <alignment horizontal="center" vertical="center" wrapText="1"/>
    </xf>
    <xf numFmtId="165" fontId="11" fillId="0" borderId="6" xfId="1" applyNumberFormat="1" applyFont="1" applyFill="1" applyBorder="1" applyAlignment="1">
      <alignment horizontal="right" vertical="center"/>
    </xf>
    <xf numFmtId="172" fontId="11" fillId="0" borderId="6" xfId="0" applyNumberFormat="1" applyFont="1" applyFill="1" applyBorder="1"/>
    <xf numFmtId="0" fontId="10" fillId="0" borderId="10" xfId="0" applyFont="1" applyFill="1" applyBorder="1"/>
    <xf numFmtId="171" fontId="10" fillId="0" borderId="10" xfId="1" applyNumberFormat="1" applyFont="1" applyFill="1" applyBorder="1"/>
    <xf numFmtId="172" fontId="10" fillId="0" borderId="8" xfId="0" applyNumberFormat="1" applyFont="1" applyFill="1" applyBorder="1"/>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165" fontId="4" fillId="0" borderId="6" xfId="1" applyNumberFormat="1" applyFont="1" applyFill="1" applyBorder="1" applyAlignment="1">
      <alignment horizontal="center"/>
    </xf>
    <xf numFmtId="165" fontId="5" fillId="0" borderId="10" xfId="0" applyNumberFormat="1" applyFont="1" applyFill="1" applyBorder="1"/>
    <xf numFmtId="171" fontId="5" fillId="0" borderId="10" xfId="0" applyNumberFormat="1" applyFont="1" applyBorder="1"/>
    <xf numFmtId="172" fontId="5" fillId="0" borderId="10" xfId="0" applyNumberFormat="1" applyFont="1" applyBorder="1"/>
    <xf numFmtId="172" fontId="5" fillId="0" borderId="8" xfId="0" applyNumberFormat="1" applyFont="1" applyBorder="1"/>
    <xf numFmtId="165" fontId="11" fillId="0" borderId="6" xfId="1" applyNumberFormat="1" applyFont="1" applyFill="1" applyBorder="1" applyAlignment="1">
      <alignment horizontal="center"/>
    </xf>
    <xf numFmtId="172" fontId="11" fillId="0" borderId="6" xfId="0" applyNumberFormat="1" applyFont="1" applyFill="1" applyBorder="1" applyAlignment="1">
      <alignment horizontal="right" vertical="center"/>
    </xf>
    <xf numFmtId="165" fontId="10" fillId="0" borderId="10" xfId="1" applyNumberFormat="1" applyFont="1" applyFill="1" applyBorder="1"/>
    <xf numFmtId="172" fontId="5" fillId="0" borderId="10" xfId="0" applyNumberFormat="1" applyFont="1" applyBorder="1" applyAlignment="1">
      <alignment horizontal="right" vertical="center"/>
    </xf>
    <xf numFmtId="172" fontId="10" fillId="0" borderId="8" xfId="0" applyNumberFormat="1" applyFont="1" applyFill="1" applyBorder="1" applyAlignment="1">
      <alignment horizontal="right" vertical="center"/>
    </xf>
    <xf numFmtId="165" fontId="11" fillId="0" borderId="0" xfId="0" applyNumberFormat="1" applyFont="1" applyFill="1" applyBorder="1"/>
    <xf numFmtId="0" fontId="36" fillId="0" borderId="4" xfId="0" applyFont="1" applyBorder="1" applyAlignment="1">
      <alignment horizontal="center" vertical="center" wrapText="1"/>
    </xf>
    <xf numFmtId="3" fontId="4" fillId="0" borderId="6" xfId="0" applyNumberFormat="1" applyFont="1" applyBorder="1"/>
    <xf numFmtId="3" fontId="5" fillId="0" borderId="10" xfId="0" applyNumberFormat="1" applyFont="1" applyBorder="1"/>
    <xf numFmtId="3" fontId="5" fillId="0" borderId="8" xfId="0" applyNumberFormat="1" applyFont="1" applyBorder="1"/>
    <xf numFmtId="3" fontId="5" fillId="0" borderId="7" xfId="0" applyNumberFormat="1" applyFont="1" applyBorder="1"/>
    <xf numFmtId="0" fontId="5"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8" xfId="0" applyFont="1" applyBorder="1" applyAlignment="1">
      <alignment horizontal="center" vertical="center" wrapText="1"/>
    </xf>
    <xf numFmtId="0" fontId="36" fillId="0" borderId="3" xfId="0" applyFont="1" applyBorder="1" applyAlignment="1">
      <alignment horizontal="center" vertical="center" wrapText="1"/>
    </xf>
    <xf numFmtId="3" fontId="4" fillId="0" borderId="5" xfId="5" applyNumberFormat="1" applyFont="1" applyBorder="1" applyAlignment="1">
      <alignment horizontal="right" vertical="center"/>
    </xf>
    <xf numFmtId="172" fontId="34" fillId="0" borderId="15" xfId="0" applyNumberFormat="1" applyFont="1" applyBorder="1" applyAlignment="1">
      <alignment horizontal="right" vertical="center" wrapText="1"/>
    </xf>
    <xf numFmtId="172" fontId="13" fillId="0" borderId="15" xfId="0" applyNumberFormat="1" applyFont="1" applyBorder="1" applyAlignment="1">
      <alignment vertical="center" wrapText="1"/>
    </xf>
    <xf numFmtId="172" fontId="32" fillId="0" borderId="15" xfId="0" applyNumberFormat="1" applyFont="1" applyBorder="1" applyAlignment="1">
      <alignment horizontal="right" vertical="center" wrapText="1"/>
    </xf>
    <xf numFmtId="172" fontId="35" fillId="0" borderId="15" xfId="0" applyNumberFormat="1" applyFont="1" applyBorder="1" applyAlignment="1">
      <alignment horizontal="right" vertical="center" wrapText="1"/>
    </xf>
    <xf numFmtId="9" fontId="34" fillId="0" borderId="15" xfId="0" applyNumberFormat="1" applyFont="1" applyBorder="1" applyAlignment="1">
      <alignment horizontal="center" vertical="center" wrapText="1"/>
    </xf>
    <xf numFmtId="0" fontId="32" fillId="0" borderId="19" xfId="0" applyFont="1" applyBorder="1" applyAlignment="1">
      <alignment horizontal="right" vertical="center"/>
    </xf>
    <xf numFmtId="0" fontId="12" fillId="0" borderId="17" xfId="0" applyFont="1" applyBorder="1" applyAlignment="1">
      <alignment horizontal="center" vertical="center" wrapText="1"/>
    </xf>
    <xf numFmtId="172" fontId="13" fillId="0" borderId="17" xfId="0" applyNumberFormat="1" applyFont="1" applyBorder="1"/>
    <xf numFmtId="172" fontId="12" fillId="0" borderId="20" xfId="0" applyNumberFormat="1" applyFont="1" applyBorder="1"/>
    <xf numFmtId="172" fontId="12" fillId="0" borderId="21" xfId="0" applyNumberFormat="1" applyFont="1" applyBorder="1" applyAlignment="1">
      <alignment horizontal="center" vertical="center" wrapText="1"/>
    </xf>
    <xf numFmtId="172" fontId="13" fillId="0" borderId="21" xfId="0" applyNumberFormat="1" applyFont="1" applyBorder="1"/>
    <xf numFmtId="172" fontId="12" fillId="0" borderId="22" xfId="0" applyNumberFormat="1" applyFont="1" applyBorder="1"/>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72" fontId="13" fillId="0" borderId="5" xfId="0" applyNumberFormat="1" applyFont="1" applyBorder="1"/>
    <xf numFmtId="172" fontId="12" fillId="0" borderId="7" xfId="0" applyNumberFormat="1" applyFont="1" applyBorder="1"/>
    <xf numFmtId="172" fontId="4" fillId="0" borderId="10" xfId="0" applyNumberFormat="1" applyFont="1" applyBorder="1"/>
    <xf numFmtId="0" fontId="5" fillId="0" borderId="0" xfId="0" applyFont="1"/>
    <xf numFmtId="0" fontId="5" fillId="0" borderId="3" xfId="0" applyFont="1" applyBorder="1"/>
    <xf numFmtId="0" fontId="5" fillId="0" borderId="4" xfId="0" applyFont="1" applyBorder="1"/>
    <xf numFmtId="0" fontId="5" fillId="0" borderId="9" xfId="0" applyFont="1" applyBorder="1"/>
    <xf numFmtId="173" fontId="4" fillId="0" borderId="2" xfId="0" applyNumberFormat="1" applyFont="1" applyBorder="1"/>
    <xf numFmtId="173" fontId="4" fillId="0" borderId="10" xfId="0" applyNumberFormat="1" applyFont="1" applyBorder="1"/>
    <xf numFmtId="2" fontId="4" fillId="0" borderId="6" xfId="0" applyNumberFormat="1" applyFont="1" applyBorder="1"/>
    <xf numFmtId="2" fontId="4" fillId="0" borderId="8" xfId="0" applyNumberFormat="1" applyFont="1" applyBorder="1"/>
    <xf numFmtId="3" fontId="11" fillId="0" borderId="6" xfId="1" applyNumberFormat="1" applyFont="1" applyFill="1" applyBorder="1" applyAlignment="1">
      <alignment horizontal="right" vertical="center"/>
    </xf>
    <xf numFmtId="165" fontId="10" fillId="0" borderId="10" xfId="0" applyNumberFormat="1" applyFont="1" applyFill="1" applyBorder="1" applyAlignment="1">
      <alignment horizontal="right" vertical="center"/>
    </xf>
    <xf numFmtId="165" fontId="10" fillId="0" borderId="8" xfId="0" applyNumberFormat="1" applyFont="1" applyFill="1" applyBorder="1" applyAlignment="1">
      <alignment horizontal="right" vertical="center"/>
    </xf>
    <xf numFmtId="0" fontId="36" fillId="0" borderId="4" xfId="0" applyFont="1" applyBorder="1" applyAlignment="1">
      <alignment horizontal="center" wrapText="1"/>
    </xf>
    <xf numFmtId="0" fontId="32" fillId="0" borderId="23" xfId="0" applyFont="1" applyBorder="1" applyAlignment="1">
      <alignment horizontal="right" vertical="center" wrapText="1"/>
    </xf>
    <xf numFmtId="0" fontId="32" fillId="0" borderId="19" xfId="0" applyFont="1" applyBorder="1" applyAlignment="1">
      <alignment horizontal="right"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0" fontId="5" fillId="0" borderId="6" xfId="0" applyFont="1" applyBorder="1" applyAlignment="1">
      <alignment horizontal="center" vertical="center" wrapText="1"/>
    </xf>
    <xf numFmtId="3" fontId="5" fillId="0" borderId="2" xfId="0" applyNumberFormat="1" applyFont="1" applyBorder="1" applyAlignment="1">
      <alignment horizontal="center" vertical="center" wrapText="1"/>
    </xf>
    <xf numFmtId="167" fontId="4" fillId="0" borderId="7" xfId="10" applyNumberFormat="1" applyFont="1" applyBorder="1"/>
    <xf numFmtId="167" fontId="4" fillId="0" borderId="10" xfId="10" applyNumberFormat="1" applyFont="1" applyBorder="1"/>
    <xf numFmtId="167" fontId="4" fillId="0" borderId="8" xfId="10" applyNumberFormat="1" applyFont="1" applyBorder="1"/>
    <xf numFmtId="0" fontId="4" fillId="0" borderId="5" xfId="0" applyFont="1" applyBorder="1" applyAlignment="1">
      <alignment horizontal="center" vertical="center"/>
    </xf>
    <xf numFmtId="0" fontId="4" fillId="0" borderId="2" xfId="0" applyFont="1" applyBorder="1" applyAlignment="1">
      <alignment horizontal="center" vertical="center"/>
    </xf>
    <xf numFmtId="3" fontId="4" fillId="0" borderId="0" xfId="0" applyNumberFormat="1" applyFont="1"/>
    <xf numFmtId="3" fontId="4" fillId="0" borderId="2" xfId="0" applyNumberFormat="1" applyFont="1" applyBorder="1" applyAlignment="1">
      <alignment horizontal="right"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horizontal="right" vertical="center"/>
    </xf>
    <xf numFmtId="3" fontId="4" fillId="0" borderId="8" xfId="0" applyNumberFormat="1" applyFont="1" applyBorder="1"/>
    <xf numFmtId="0" fontId="4"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Fill="1"/>
    <xf numFmtId="3" fontId="11" fillId="0" borderId="0" xfId="0" applyNumberFormat="1" applyFont="1" applyFill="1"/>
    <xf numFmtId="3" fontId="11" fillId="0" borderId="0" xfId="0" applyNumberFormat="1" applyFont="1"/>
    <xf numFmtId="0" fontId="11" fillId="0" borderId="0" xfId="0" applyFont="1"/>
    <xf numFmtId="0" fontId="10" fillId="0" borderId="3" xfId="0"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11" fillId="0" borderId="5" xfId="0" applyFont="1" applyFill="1" applyBorder="1" applyAlignment="1">
      <alignment horizontal="center" vertical="center"/>
    </xf>
    <xf numFmtId="3" fontId="11" fillId="0" borderId="2" xfId="0" applyNumberFormat="1" applyFont="1" applyBorder="1"/>
    <xf numFmtId="3" fontId="11" fillId="0" borderId="6" xfId="0" applyNumberFormat="1" applyFont="1" applyBorder="1"/>
    <xf numFmtId="0" fontId="11" fillId="0" borderId="7" xfId="0" applyFont="1" applyFill="1" applyBorder="1" applyAlignment="1">
      <alignment horizontal="center" vertical="center"/>
    </xf>
    <xf numFmtId="3" fontId="10" fillId="0" borderId="10" xfId="0" applyNumberFormat="1" applyFont="1" applyBorder="1"/>
    <xf numFmtId="3" fontId="10" fillId="0" borderId="8" xfId="0" applyNumberFormat="1" applyFont="1" applyBorder="1"/>
    <xf numFmtId="0" fontId="10" fillId="0" borderId="0" xfId="0" applyFont="1"/>
    <xf numFmtId="0" fontId="10" fillId="0" borderId="0" xfId="0" applyFont="1" applyFill="1"/>
    <xf numFmtId="0" fontId="10" fillId="0" borderId="10" xfId="0" applyFont="1" applyFill="1" applyBorder="1" applyAlignment="1">
      <alignment horizontal="center" vertical="center"/>
    </xf>
    <xf numFmtId="3" fontId="5" fillId="0" borderId="4"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0" fontId="11" fillId="0" borderId="5" xfId="0" applyFont="1" applyFill="1" applyBorder="1"/>
    <xf numFmtId="0" fontId="11" fillId="0" borderId="7" xfId="0" applyFont="1" applyFill="1" applyBorder="1"/>
    <xf numFmtId="0" fontId="11" fillId="0" borderId="0" xfId="0" applyFont="1" applyFill="1" applyBorder="1"/>
    <xf numFmtId="0" fontId="4" fillId="0" borderId="2" xfId="0" applyFont="1" applyFill="1" applyBorder="1" applyAlignment="1">
      <alignment horizontal="center" vertical="center"/>
    </xf>
    <xf numFmtId="9" fontId="4" fillId="0" borderId="6" xfId="10" applyFont="1" applyBorder="1"/>
    <xf numFmtId="0" fontId="5" fillId="0" borderId="8" xfId="0" applyFont="1" applyBorder="1"/>
    <xf numFmtId="0" fontId="5" fillId="0" borderId="0" xfId="0" applyFont="1" applyAlignment="1">
      <alignment wrapText="1"/>
    </xf>
    <xf numFmtId="0" fontId="4" fillId="0" borderId="0" xfId="0" applyFont="1" applyAlignment="1">
      <alignment wrapText="1"/>
    </xf>
    <xf numFmtId="166" fontId="4" fillId="0" borderId="2" xfId="0" applyNumberFormat="1" applyFont="1" applyBorder="1"/>
    <xf numFmtId="166" fontId="4" fillId="0" borderId="6" xfId="0" applyNumberFormat="1" applyFont="1" applyBorder="1"/>
    <xf numFmtId="166" fontId="4" fillId="0" borderId="21" xfId="0" applyNumberFormat="1" applyFont="1" applyBorder="1"/>
    <xf numFmtId="166" fontId="5" fillId="0" borderId="10" xfId="0" applyNumberFormat="1" applyFont="1" applyBorder="1"/>
    <xf numFmtId="166" fontId="5" fillId="0" borderId="8" xfId="0" applyNumberFormat="1" applyFont="1" applyBorder="1"/>
    <xf numFmtId="166" fontId="5" fillId="0" borderId="22" xfId="0" applyNumberFormat="1" applyFont="1" applyBorder="1"/>
    <xf numFmtId="164" fontId="4" fillId="0" borderId="2" xfId="0" applyNumberFormat="1" applyFont="1" applyBorder="1"/>
    <xf numFmtId="164" fontId="4" fillId="0" borderId="6" xfId="0" applyNumberFormat="1" applyFont="1" applyBorder="1"/>
    <xf numFmtId="164" fontId="5" fillId="0" borderId="10" xfId="0" applyNumberFormat="1" applyFont="1" applyBorder="1"/>
    <xf numFmtId="164" fontId="5" fillId="0" borderId="8" xfId="0" applyNumberFormat="1" applyFont="1" applyBorder="1"/>
    <xf numFmtId="165" fontId="11" fillId="0" borderId="5" xfId="1" applyNumberFormat="1" applyFont="1" applyFill="1" applyBorder="1" applyAlignment="1">
      <alignment horizontal="right"/>
    </xf>
    <xf numFmtId="164" fontId="11" fillId="0" borderId="2" xfId="1" applyNumberFormat="1" applyFont="1" applyFill="1" applyBorder="1" applyAlignment="1">
      <alignment horizontal="right"/>
    </xf>
    <xf numFmtId="164" fontId="11" fillId="0" borderId="6" xfId="1" applyNumberFormat="1" applyFont="1" applyFill="1" applyBorder="1" applyAlignment="1">
      <alignment horizontal="right"/>
    </xf>
    <xf numFmtId="166" fontId="11" fillId="0" borderId="2" xfId="1" applyNumberFormat="1" applyFont="1" applyFill="1" applyBorder="1" applyAlignment="1">
      <alignment horizontal="right"/>
    </xf>
    <xf numFmtId="166" fontId="11" fillId="0" borderId="6" xfId="1" applyNumberFormat="1" applyFont="1" applyFill="1" applyBorder="1" applyAlignment="1">
      <alignment horizontal="right"/>
    </xf>
    <xf numFmtId="166" fontId="11" fillId="0" borderId="21" xfId="1" applyNumberFormat="1" applyFont="1" applyFill="1" applyBorder="1" applyAlignment="1">
      <alignment horizontal="right"/>
    </xf>
    <xf numFmtId="165" fontId="11" fillId="0" borderId="5" xfId="1" applyNumberFormat="1" applyFont="1" applyFill="1" applyBorder="1" applyAlignment="1"/>
    <xf numFmtId="164" fontId="11" fillId="0" borderId="2" xfId="1" applyNumberFormat="1" applyFont="1" applyFill="1" applyBorder="1" applyAlignment="1"/>
    <xf numFmtId="3" fontId="4" fillId="0" borderId="5" xfId="5" applyNumberFormat="1" applyFont="1" applyBorder="1" applyAlignment="1">
      <alignment vertical="center"/>
    </xf>
    <xf numFmtId="164" fontId="4" fillId="0" borderId="2" xfId="0" applyNumberFormat="1" applyFont="1" applyBorder="1" applyAlignment="1"/>
    <xf numFmtId="172" fontId="4" fillId="0" borderId="0" xfId="1" applyNumberFormat="1" applyFont="1"/>
    <xf numFmtId="172" fontId="5" fillId="0" borderId="4" xfId="1" applyNumberFormat="1" applyFont="1" applyBorder="1" applyAlignment="1">
      <alignment horizontal="center" vertical="center" wrapText="1"/>
    </xf>
    <xf numFmtId="172" fontId="5" fillId="0" borderId="9" xfId="1" applyNumberFormat="1" applyFont="1" applyBorder="1" applyAlignment="1">
      <alignment horizontal="center" vertical="center" wrapText="1"/>
    </xf>
    <xf numFmtId="172" fontId="4" fillId="0" borderId="2" xfId="1" applyNumberFormat="1" applyFont="1" applyBorder="1"/>
    <xf numFmtId="172" fontId="4" fillId="0" borderId="6" xfId="1" applyNumberFormat="1" applyFont="1" applyBorder="1"/>
    <xf numFmtId="172" fontId="5" fillId="0" borderId="10" xfId="1" applyNumberFormat="1" applyFont="1" applyBorder="1"/>
    <xf numFmtId="172" fontId="5" fillId="0" borderId="8" xfId="1" applyNumberFormat="1" applyFont="1" applyBorder="1"/>
    <xf numFmtId="0" fontId="4" fillId="0" borderId="0" xfId="0" applyFont="1" applyAlignment="1">
      <alignment horizontal="center"/>
    </xf>
    <xf numFmtId="0" fontId="4" fillId="0" borderId="5" xfId="0" applyFont="1" applyBorder="1" applyAlignment="1">
      <alignment horizontal="center"/>
    </xf>
    <xf numFmtId="175" fontId="4" fillId="0" borderId="0" xfId="1" applyNumberFormat="1" applyFont="1"/>
    <xf numFmtId="175" fontId="5" fillId="0" borderId="4" xfId="1" applyNumberFormat="1" applyFont="1" applyBorder="1" applyAlignment="1">
      <alignment horizontal="center" vertical="center" wrapText="1"/>
    </xf>
    <xf numFmtId="175" fontId="4" fillId="0" borderId="2" xfId="1" applyNumberFormat="1" applyFont="1" applyBorder="1"/>
    <xf numFmtId="175" fontId="5" fillId="0" borderId="10" xfId="1" applyNumberFormat="1" applyFont="1" applyBorder="1"/>
    <xf numFmtId="172" fontId="4" fillId="0" borderId="0" xfId="0" applyNumberFormat="1" applyFont="1"/>
    <xf numFmtId="172" fontId="5" fillId="0" borderId="4" xfId="0" applyNumberFormat="1" applyFont="1" applyBorder="1" applyAlignment="1">
      <alignment horizontal="center" vertical="center" wrapText="1"/>
    </xf>
    <xf numFmtId="172" fontId="18" fillId="0" borderId="4" xfId="1" applyNumberFormat="1" applyFont="1" applyBorder="1" applyAlignment="1">
      <alignment horizontal="center" vertical="center" wrapText="1"/>
    </xf>
    <xf numFmtId="172" fontId="5" fillId="0" borderId="0" xfId="1" applyNumberFormat="1" applyFont="1" applyAlignment="1">
      <alignment horizontal="center" vertical="center" wrapText="1"/>
    </xf>
    <xf numFmtId="172" fontId="5" fillId="0" borderId="0" xfId="1" applyNumberFormat="1" applyFont="1"/>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172" fontId="11" fillId="0" borderId="6" xfId="0" applyNumberFormat="1" applyFont="1" applyBorder="1"/>
    <xf numFmtId="0" fontId="10" fillId="0" borderId="4" xfId="0" applyFont="1" applyBorder="1" applyAlignment="1">
      <alignment horizontal="center" vertical="center" wrapText="1"/>
    </xf>
    <xf numFmtId="172" fontId="11" fillId="0" borderId="2" xfId="0" applyNumberFormat="1" applyFont="1" applyBorder="1"/>
    <xf numFmtId="172" fontId="11" fillId="0" borderId="10" xfId="0" applyNumberFormat="1" applyFont="1" applyFill="1" applyBorder="1"/>
    <xf numFmtId="172" fontId="11" fillId="0" borderId="8" xfId="0" applyNumberFormat="1" applyFont="1" applyFill="1" applyBorder="1"/>
    <xf numFmtId="172" fontId="10" fillId="0" borderId="10" xfId="4" applyNumberFormat="1" applyFont="1" applyFill="1" applyBorder="1" applyAlignment="1">
      <alignment horizontal="right" vertical="center"/>
    </xf>
    <xf numFmtId="172" fontId="11" fillId="0" borderId="2" xfId="1" applyNumberFormat="1" applyFont="1" applyFill="1" applyBorder="1" applyAlignment="1">
      <alignment horizontal="right"/>
    </xf>
    <xf numFmtId="172" fontId="11" fillId="0" borderId="6" xfId="1" applyNumberFormat="1" applyFont="1" applyFill="1" applyBorder="1" applyAlignment="1">
      <alignment horizontal="right"/>
    </xf>
    <xf numFmtId="172" fontId="11" fillId="0" borderId="6" xfId="0" applyNumberFormat="1" applyFont="1" applyFill="1" applyBorder="1" applyAlignment="1">
      <alignment horizontal="right"/>
    </xf>
    <xf numFmtId="172" fontId="10" fillId="0" borderId="10" xfId="0" applyNumberFormat="1" applyFont="1" applyFill="1" applyBorder="1" applyAlignment="1">
      <alignment horizontal="right"/>
    </xf>
    <xf numFmtId="172" fontId="10" fillId="0" borderId="8" xfId="0" applyNumberFormat="1" applyFont="1" applyFill="1" applyBorder="1" applyAlignment="1">
      <alignment horizontal="right"/>
    </xf>
    <xf numFmtId="172" fontId="11" fillId="0" borderId="2" xfId="1" applyNumberFormat="1" applyFont="1" applyFill="1" applyBorder="1" applyAlignment="1">
      <alignment horizontal="right" vertical="center"/>
    </xf>
    <xf numFmtId="172" fontId="11" fillId="0" borderId="6" xfId="1" applyNumberFormat="1" applyFont="1" applyFill="1" applyBorder="1" applyAlignment="1">
      <alignment horizontal="right" vertical="center"/>
    </xf>
    <xf numFmtId="172" fontId="10" fillId="0" borderId="10" xfId="0" applyNumberFormat="1" applyFont="1" applyFill="1" applyBorder="1" applyAlignment="1">
      <alignment horizontal="right" vertical="center"/>
    </xf>
    <xf numFmtId="172" fontId="10" fillId="0" borderId="10" xfId="1" applyNumberFormat="1" applyFont="1" applyFill="1" applyBorder="1" applyAlignment="1">
      <alignment horizontal="right" vertical="center"/>
    </xf>
    <xf numFmtId="0" fontId="11" fillId="0" borderId="2" xfId="0" applyFont="1" applyFill="1" applyBorder="1" applyAlignment="1">
      <alignment horizontal="center" wrapText="1"/>
    </xf>
    <xf numFmtId="0" fontId="11" fillId="0" borderId="2" xfId="0" applyFont="1" applyFill="1" applyBorder="1" applyAlignment="1">
      <alignment horizontal="center"/>
    </xf>
    <xf numFmtId="0" fontId="5" fillId="0" borderId="0" xfId="0" applyFont="1" applyAlignment="1">
      <alignment vertical="center" wrapText="1"/>
    </xf>
    <xf numFmtId="172" fontId="4" fillId="0" borderId="2" xfId="1" applyNumberFormat="1" applyFont="1" applyFill="1" applyBorder="1"/>
    <xf numFmtId="172" fontId="5" fillId="0" borderId="10" xfId="0" applyNumberFormat="1" applyFont="1" applyFill="1" applyBorder="1"/>
    <xf numFmtId="172" fontId="4" fillId="0" borderId="2" xfId="1" applyNumberFormat="1" applyFont="1" applyFill="1" applyBorder="1" applyAlignment="1">
      <alignment horizontal="right" vertical="center"/>
    </xf>
    <xf numFmtId="172" fontId="5" fillId="0" borderId="2" xfId="0" applyNumberFormat="1" applyFont="1" applyFill="1" applyBorder="1" applyAlignment="1">
      <alignment horizontal="right" vertical="center"/>
    </xf>
    <xf numFmtId="172" fontId="11" fillId="0" borderId="0" xfId="0" applyNumberFormat="1" applyFont="1" applyFill="1"/>
    <xf numFmtId="0" fontId="4" fillId="0" borderId="0" xfId="7" applyFont="1"/>
    <xf numFmtId="0" fontId="5" fillId="0" borderId="3" xfId="7" applyFont="1" applyBorder="1" applyAlignment="1">
      <alignment horizontal="center" vertical="center" wrapText="1"/>
    </xf>
    <xf numFmtId="0" fontId="5" fillId="0" borderId="0" xfId="7" applyFont="1" applyAlignment="1">
      <alignment horizontal="center" vertical="center" wrapText="1"/>
    </xf>
    <xf numFmtId="0" fontId="10" fillId="0" borderId="10" xfId="7" applyFont="1" applyFill="1" applyBorder="1" applyAlignment="1">
      <alignment horizontal="center" vertical="center"/>
    </xf>
    <xf numFmtId="0" fontId="4" fillId="0" borderId="5" xfId="7" applyFont="1" applyBorder="1" applyAlignment="1">
      <alignment horizontal="center" vertical="center"/>
    </xf>
    <xf numFmtId="0" fontId="4" fillId="0" borderId="0" xfId="7" applyFont="1" applyAlignment="1">
      <alignment horizontal="center" vertical="center"/>
    </xf>
    <xf numFmtId="0" fontId="4" fillId="0" borderId="7" xfId="7" applyFont="1" applyBorder="1" applyAlignment="1">
      <alignment horizontal="center" vertical="center"/>
    </xf>
    <xf numFmtId="0" fontId="33" fillId="0" borderId="5"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4" fillId="0" borderId="5" xfId="0" applyFont="1" applyFill="1" applyBorder="1"/>
    <xf numFmtId="168" fontId="4" fillId="0" borderId="5" xfId="0" applyNumberFormat="1" applyFont="1" applyFill="1" applyBorder="1"/>
    <xf numFmtId="168" fontId="4" fillId="0" borderId="2" xfId="0" applyNumberFormat="1" applyFont="1" applyFill="1" applyBorder="1"/>
    <xf numFmtId="168" fontId="4" fillId="0" borderId="6" xfId="0" applyNumberFormat="1" applyFont="1" applyFill="1" applyBorder="1"/>
    <xf numFmtId="0" fontId="33" fillId="0" borderId="7" xfId="0" applyFont="1" applyFill="1" applyBorder="1"/>
    <xf numFmtId="0" fontId="33" fillId="0" borderId="10" xfId="0" applyFont="1" applyFill="1" applyBorder="1"/>
    <xf numFmtId="172" fontId="33" fillId="0" borderId="20" xfId="0" applyNumberFormat="1" applyFont="1" applyFill="1" applyBorder="1"/>
    <xf numFmtId="171" fontId="33" fillId="0" borderId="7" xfId="0" applyNumberFormat="1" applyFont="1" applyFill="1" applyBorder="1"/>
    <xf numFmtId="171" fontId="33" fillId="0" borderId="10" xfId="0" applyNumberFormat="1" applyFont="1" applyFill="1" applyBorder="1"/>
    <xf numFmtId="171" fontId="33" fillId="0" borderId="8" xfId="0" applyNumberFormat="1" applyFont="1" applyFill="1" applyBorder="1"/>
    <xf numFmtId="171" fontId="33" fillId="0" borderId="24" xfId="0" applyNumberFormat="1" applyFont="1" applyFill="1" applyBorder="1"/>
    <xf numFmtId="0" fontId="4" fillId="0" borderId="0" xfId="7" applyFont="1" applyBorder="1"/>
    <xf numFmtId="168" fontId="4" fillId="0" borderId="0" xfId="0" applyNumberFormat="1" applyFont="1" applyFill="1" applyBorder="1"/>
    <xf numFmtId="0" fontId="33" fillId="0" borderId="0" xfId="0" applyFont="1" applyFill="1" applyBorder="1" applyAlignment="1">
      <alignment vertical="center" wrapText="1"/>
    </xf>
    <xf numFmtId="0" fontId="33" fillId="0" borderId="0" xfId="0" applyFont="1" applyFill="1" applyBorder="1"/>
    <xf numFmtId="168" fontId="33" fillId="0" borderId="0" xfId="0" applyNumberFormat="1" applyFont="1" applyFill="1" applyBorder="1"/>
    <xf numFmtId="0" fontId="4" fillId="0" borderId="0" xfId="7" applyFont="1" applyBorder="1" applyAlignment="1">
      <alignment horizontal="center"/>
    </xf>
    <xf numFmtId="0" fontId="4" fillId="0" borderId="0" xfId="7" applyFont="1" applyAlignment="1">
      <alignment horizontal="center"/>
    </xf>
    <xf numFmtId="176" fontId="4" fillId="0" borderId="2" xfId="0" applyNumberFormat="1" applyFont="1" applyFill="1" applyBorder="1"/>
    <xf numFmtId="176" fontId="4" fillId="0" borderId="17" xfId="0" applyNumberFormat="1" applyFont="1" applyFill="1" applyBorder="1"/>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3" fillId="0" borderId="7" xfId="0" applyFont="1" applyBorder="1"/>
    <xf numFmtId="0" fontId="23" fillId="0" borderId="10" xfId="0" applyFont="1" applyBorder="1"/>
    <xf numFmtId="172" fontId="23" fillId="0" borderId="10" xfId="0" applyNumberFormat="1" applyFont="1" applyBorder="1"/>
    <xf numFmtId="172" fontId="23" fillId="0" borderId="8" xfId="0" applyNumberFormat="1" applyFont="1" applyBorder="1"/>
    <xf numFmtId="0" fontId="23" fillId="0" borderId="0" xfId="0" applyFont="1"/>
    <xf numFmtId="0" fontId="22" fillId="0" borderId="2" xfId="0" applyFont="1" applyBorder="1" applyAlignment="1">
      <alignment horizontal="center" vertical="center" wrapText="1"/>
    </xf>
    <xf numFmtId="0" fontId="5" fillId="0" borderId="0" xfId="0" applyFont="1" applyBorder="1" applyAlignment="1">
      <alignment wrapText="1"/>
    </xf>
    <xf numFmtId="0" fontId="12" fillId="0" borderId="2" xfId="0" applyFont="1" applyFill="1" applyBorder="1" applyAlignment="1">
      <alignment horizontal="center" vertical="center"/>
    </xf>
    <xf numFmtId="0" fontId="37" fillId="0" borderId="0" xfId="0" applyFont="1" applyFill="1" applyBorder="1" applyAlignment="1">
      <alignment vertical="center" wrapText="1"/>
    </xf>
    <xf numFmtId="0" fontId="37" fillId="7" borderId="3"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37" fillId="7" borderId="5" xfId="0" applyFont="1" applyFill="1" applyBorder="1" applyAlignment="1">
      <alignment vertical="center" wrapText="1"/>
    </xf>
    <xf numFmtId="3" fontId="37" fillId="0" borderId="2" xfId="0" applyNumberFormat="1" applyFont="1" applyFill="1" applyBorder="1" applyAlignment="1">
      <alignment horizontal="right" vertical="center" wrapText="1"/>
    </xf>
    <xf numFmtId="3" fontId="24" fillId="0" borderId="2" xfId="0" applyNumberFormat="1" applyFont="1" applyFill="1" applyBorder="1" applyAlignment="1">
      <alignment horizontal="right" vertical="center" wrapText="1"/>
    </xf>
    <xf numFmtId="3" fontId="24" fillId="0" borderId="6" xfId="0" applyNumberFormat="1" applyFont="1" applyFill="1" applyBorder="1" applyAlignment="1">
      <alignment horizontal="right" vertical="center" wrapText="1"/>
    </xf>
    <xf numFmtId="10" fontId="37" fillId="0" borderId="2" xfId="0" applyNumberFormat="1" applyFont="1" applyFill="1" applyBorder="1" applyAlignment="1">
      <alignment horizontal="right" vertical="center" wrapText="1"/>
    </xf>
    <xf numFmtId="10" fontId="4" fillId="0" borderId="2" xfId="0" applyNumberFormat="1" applyFont="1" applyFill="1" applyBorder="1"/>
    <xf numFmtId="10" fontId="24" fillId="9" borderId="2" xfId="0" applyNumberFormat="1" applyFont="1" applyFill="1" applyBorder="1" applyAlignment="1">
      <alignment horizontal="right" vertical="center" wrapText="1"/>
    </xf>
    <xf numFmtId="10" fontId="24" fillId="0" borderId="2" xfId="0" applyNumberFormat="1" applyFont="1" applyFill="1" applyBorder="1" applyAlignment="1">
      <alignment horizontal="right" vertical="center" wrapText="1"/>
    </xf>
    <xf numFmtId="10" fontId="24" fillId="9" borderId="6" xfId="0" applyNumberFormat="1" applyFont="1" applyFill="1" applyBorder="1" applyAlignment="1">
      <alignment horizontal="right" vertical="center" wrapText="1"/>
    </xf>
    <xf numFmtId="0" fontId="37" fillId="0" borderId="2" xfId="0" applyFont="1" applyFill="1" applyBorder="1" applyAlignment="1">
      <alignment horizontal="right" vertical="center" wrapText="1"/>
    </xf>
    <xf numFmtId="2" fontId="24" fillId="0" borderId="2" xfId="0" applyNumberFormat="1" applyFont="1" applyFill="1" applyBorder="1" applyAlignment="1">
      <alignment horizontal="right" vertical="center" wrapText="1"/>
    </xf>
    <xf numFmtId="2" fontId="24" fillId="0" borderId="6" xfId="0" applyNumberFormat="1" applyFont="1" applyFill="1" applyBorder="1" applyAlignment="1">
      <alignment horizontal="right" vertical="center" wrapText="1"/>
    </xf>
    <xf numFmtId="3" fontId="24" fillId="9" borderId="2" xfId="0" applyNumberFormat="1" applyFont="1" applyFill="1" applyBorder="1" applyAlignment="1">
      <alignment horizontal="right" vertical="center" wrapText="1"/>
    </xf>
    <xf numFmtId="3" fontId="24" fillId="9" borderId="6" xfId="0" applyNumberFormat="1" applyFont="1" applyFill="1" applyBorder="1" applyAlignment="1">
      <alignment horizontal="right" vertical="center" wrapText="1"/>
    </xf>
    <xf numFmtId="0" fontId="37" fillId="7" borderId="7" xfId="0" applyFont="1" applyFill="1" applyBorder="1" applyAlignment="1">
      <alignment vertical="center" wrapText="1"/>
    </xf>
    <xf numFmtId="10" fontId="37" fillId="0" borderId="10" xfId="0" applyNumberFormat="1" applyFont="1" applyFill="1" applyBorder="1" applyAlignment="1">
      <alignment horizontal="right" vertical="center" wrapText="1"/>
    </xf>
    <xf numFmtId="10" fontId="4" fillId="0" borderId="10" xfId="0" applyNumberFormat="1" applyFont="1" applyFill="1" applyBorder="1"/>
    <xf numFmtId="10" fontId="24" fillId="9" borderId="10" xfId="0" applyNumberFormat="1" applyFont="1" applyFill="1" applyBorder="1" applyAlignment="1">
      <alignment horizontal="right" vertical="center" wrapText="1"/>
    </xf>
    <xf numFmtId="10" fontId="24" fillId="0" borderId="10" xfId="0" applyNumberFormat="1" applyFont="1" applyFill="1" applyBorder="1" applyAlignment="1">
      <alignment horizontal="right" vertical="center" wrapText="1"/>
    </xf>
    <xf numFmtId="10" fontId="24" fillId="9" borderId="8" xfId="0" applyNumberFormat="1" applyFont="1" applyFill="1" applyBorder="1" applyAlignment="1">
      <alignment horizontal="right" vertical="center" wrapText="1"/>
    </xf>
    <xf numFmtId="0" fontId="20" fillId="3" borderId="3" xfId="0" applyFont="1" applyFill="1" applyBorder="1" applyAlignment="1">
      <alignment vertical="center" wrapText="1"/>
    </xf>
    <xf numFmtId="0" fontId="4" fillId="0" borderId="4" xfId="0" applyFont="1" applyBorder="1"/>
    <xf numFmtId="0" fontId="20" fillId="3" borderId="9" xfId="0" applyFont="1" applyFill="1" applyBorder="1" applyAlignment="1">
      <alignment horizontal="center" vertical="center" wrapText="1"/>
    </xf>
    <xf numFmtId="0" fontId="24" fillId="3" borderId="5" xfId="0" applyFont="1" applyFill="1" applyBorder="1" applyAlignment="1">
      <alignment horizontal="left" vertical="top" wrapText="1"/>
    </xf>
    <xf numFmtId="0" fontId="24" fillId="8" borderId="5" xfId="0" applyFont="1" applyFill="1" applyBorder="1" applyAlignment="1">
      <alignment horizontal="left" vertical="top" wrapText="1" indent="2"/>
    </xf>
    <xf numFmtId="167" fontId="24" fillId="0" borderId="2" xfId="10" applyNumberFormat="1" applyFont="1" applyFill="1" applyBorder="1" applyAlignment="1">
      <alignment horizontal="right" vertical="center" wrapText="1"/>
    </xf>
    <xf numFmtId="167" fontId="24" fillId="0" borderId="6" xfId="10" applyNumberFormat="1" applyFont="1" applyFill="1" applyBorder="1" applyAlignment="1">
      <alignment horizontal="right" vertical="center" wrapText="1"/>
    </xf>
    <xf numFmtId="167" fontId="24" fillId="9" borderId="6" xfId="10" applyNumberFormat="1" applyFont="1" applyFill="1" applyBorder="1" applyAlignment="1">
      <alignment horizontal="right" vertical="center" wrapText="1"/>
    </xf>
    <xf numFmtId="0" fontId="24" fillId="8" borderId="7" xfId="0" applyFont="1" applyFill="1" applyBorder="1" applyAlignment="1">
      <alignment horizontal="left" vertical="top" wrapText="1" indent="2"/>
    </xf>
    <xf numFmtId="167" fontId="24" fillId="0" borderId="10" xfId="10" applyNumberFormat="1" applyFont="1" applyFill="1" applyBorder="1" applyAlignment="1">
      <alignment horizontal="right" vertical="center" wrapText="1"/>
    </xf>
    <xf numFmtId="0" fontId="4" fillId="0" borderId="10" xfId="0" applyFont="1" applyFill="1" applyBorder="1"/>
    <xf numFmtId="167" fontId="24" fillId="0" borderId="8" xfId="10" applyNumberFormat="1" applyFont="1" applyFill="1" applyBorder="1" applyAlignment="1">
      <alignment horizontal="right" vertical="center" wrapText="1"/>
    </xf>
    <xf numFmtId="0" fontId="5" fillId="0" borderId="25" xfId="0" applyFont="1" applyBorder="1" applyAlignment="1">
      <alignment horizontal="center"/>
    </xf>
    <xf numFmtId="172" fontId="4" fillId="0" borderId="14" xfId="0" applyNumberFormat="1" applyFont="1" applyBorder="1" applyAlignment="1">
      <alignment horizontal="center"/>
    </xf>
    <xf numFmtId="43" fontId="9" fillId="10" borderId="8" xfId="0" applyNumberFormat="1" applyFont="1" applyFill="1" applyBorder="1"/>
    <xf numFmtId="167" fontId="13" fillId="0" borderId="2" xfId="10" applyNumberFormat="1" applyFont="1" applyFill="1" applyBorder="1"/>
    <xf numFmtId="167" fontId="4" fillId="0" borderId="2" xfId="10" applyNumberFormat="1" applyFont="1" applyBorder="1"/>
    <xf numFmtId="167" fontId="5" fillId="0" borderId="6" xfId="10" applyNumberFormat="1" applyFont="1" applyBorder="1"/>
    <xf numFmtId="167" fontId="5" fillId="0" borderId="8" xfId="10" applyNumberFormat="1" applyFont="1" applyBorder="1"/>
    <xf numFmtId="172" fontId="13" fillId="0" borderId="2" xfId="10" applyNumberFormat="1" applyFont="1" applyFill="1" applyBorder="1"/>
    <xf numFmtId="172" fontId="4" fillId="0" borderId="2" xfId="10" applyNumberFormat="1" applyFont="1" applyBorder="1"/>
    <xf numFmtId="172" fontId="5" fillId="0" borderId="6" xfId="10" applyNumberFormat="1" applyFont="1" applyBorder="1"/>
    <xf numFmtId="172" fontId="12" fillId="0" borderId="10" xfId="10" applyNumberFormat="1" applyFont="1" applyFill="1" applyBorder="1"/>
    <xf numFmtId="172" fontId="5" fillId="0" borderId="10" xfId="10" applyNumberFormat="1" applyFont="1" applyBorder="1"/>
    <xf numFmtId="172" fontId="5" fillId="0" borderId="8" xfId="10" applyNumberFormat="1" applyFont="1" applyBorder="1"/>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172" fontId="13" fillId="0" borderId="21" xfId="0" applyNumberFormat="1" applyFont="1" applyBorder="1" applyAlignment="1">
      <alignment horizontal="right" vertical="center" wrapText="1"/>
    </xf>
    <xf numFmtId="172" fontId="13" fillId="0" borderId="2" xfId="0" applyNumberFormat="1" applyFont="1" applyBorder="1" applyAlignment="1">
      <alignment horizontal="right" vertical="center" wrapText="1"/>
    </xf>
    <xf numFmtId="172" fontId="13" fillId="0" borderId="6" xfId="0" applyNumberFormat="1" applyFont="1" applyBorder="1" applyAlignment="1">
      <alignment horizontal="right" vertical="center" wrapText="1"/>
    </xf>
    <xf numFmtId="0" fontId="6" fillId="0" borderId="0" xfId="0" applyFont="1" applyAlignment="1">
      <alignment horizontal="right"/>
    </xf>
    <xf numFmtId="172" fontId="13" fillId="0" borderId="17" xfId="0" applyNumberFormat="1" applyFont="1" applyBorder="1" applyAlignment="1">
      <alignment horizontal="right" vertical="center" wrapText="1"/>
    </xf>
    <xf numFmtId="172" fontId="13" fillId="0" borderId="5" xfId="0" applyNumberFormat="1" applyFont="1" applyBorder="1" applyAlignment="1">
      <alignment horizontal="right" vertical="center" wrapText="1"/>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0" fillId="0" borderId="0" xfId="0" applyAlignment="1">
      <alignment horizontal="center" vertical="center"/>
    </xf>
    <xf numFmtId="174" fontId="13" fillId="0" borderId="0" xfId="0" applyNumberFormat="1" applyFont="1"/>
    <xf numFmtId="0" fontId="38" fillId="6" borderId="2" xfId="0" applyFont="1" applyFill="1" applyBorder="1" applyAlignment="1">
      <alignment vertical="center" wrapText="1"/>
    </xf>
    <xf numFmtId="0" fontId="38" fillId="5" borderId="2" xfId="0" applyFont="1" applyFill="1" applyBorder="1" applyAlignment="1">
      <alignment vertical="center" wrapText="1"/>
    </xf>
    <xf numFmtId="0" fontId="38" fillId="5" borderId="2" xfId="0" applyFont="1" applyFill="1" applyBorder="1" applyAlignment="1">
      <alignment horizontal="center" vertical="center" wrapText="1"/>
    </xf>
    <xf numFmtId="0" fontId="37" fillId="0" borderId="2" xfId="0" applyFont="1" applyBorder="1" applyAlignment="1">
      <alignment vertical="center" wrapText="1"/>
    </xf>
    <xf numFmtId="6" fontId="37" fillId="0" borderId="2" xfId="0" applyNumberFormat="1" applyFont="1" applyBorder="1" applyAlignment="1">
      <alignment horizontal="right" vertical="center" wrapText="1"/>
    </xf>
    <xf numFmtId="10" fontId="37" fillId="0" borderId="2" xfId="0" applyNumberFormat="1" applyFont="1" applyBorder="1" applyAlignment="1">
      <alignment horizontal="right" vertical="center" wrapText="1"/>
    </xf>
    <xf numFmtId="0" fontId="38" fillId="0" borderId="2" xfId="0" applyFont="1" applyBorder="1" applyAlignment="1">
      <alignment horizontal="right" vertical="center" wrapText="1"/>
    </xf>
    <xf numFmtId="6" fontId="38" fillId="0" borderId="2" xfId="0" applyNumberFormat="1" applyFont="1" applyBorder="1" applyAlignment="1">
      <alignment horizontal="right" vertical="center" wrapText="1"/>
    </xf>
    <xf numFmtId="10" fontId="38" fillId="0" borderId="2" xfId="0" applyNumberFormat="1" applyFont="1" applyBorder="1" applyAlignment="1">
      <alignment horizontal="right" vertical="center" wrapText="1"/>
    </xf>
    <xf numFmtId="0" fontId="5" fillId="5" borderId="2" xfId="0" applyFont="1" applyFill="1" applyBorder="1" applyAlignment="1">
      <alignment horizontal="center" vertical="center" wrapText="1"/>
    </xf>
    <xf numFmtId="0" fontId="4" fillId="0" borderId="2" xfId="0" applyFont="1" applyBorder="1" applyAlignment="1">
      <alignment vertical="center" wrapText="1"/>
    </xf>
    <xf numFmtId="6" fontId="4"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6" fontId="5" fillId="0" borderId="2" xfId="0" applyNumberFormat="1" applyFont="1" applyBorder="1" applyAlignment="1">
      <alignment horizontal="right" vertical="center" wrapText="1"/>
    </xf>
    <xf numFmtId="0" fontId="38" fillId="0" borderId="0" xfId="0" applyFont="1" applyFill="1" applyBorder="1" applyAlignment="1">
      <alignment vertical="center" wrapText="1"/>
    </xf>
    <xf numFmtId="0" fontId="38" fillId="5" borderId="2" xfId="0" applyFont="1" applyFill="1" applyBorder="1" applyAlignment="1">
      <alignment horizontal="center" vertical="center" wrapText="1"/>
    </xf>
    <xf numFmtId="6" fontId="4" fillId="0" borderId="2" xfId="0" applyNumberFormat="1" applyFont="1" applyBorder="1"/>
    <xf numFmtId="167" fontId="4" fillId="0" borderId="2" xfId="0" applyNumberFormat="1" applyFont="1" applyBorder="1" applyAlignment="1">
      <alignment horizontal="right" vertical="center" wrapText="1"/>
    </xf>
    <xf numFmtId="167" fontId="5" fillId="0" borderId="2" xfId="0" applyNumberFormat="1" applyFont="1" applyBorder="1" applyAlignment="1">
      <alignment horizontal="right" vertical="center" wrapText="1"/>
    </xf>
    <xf numFmtId="6" fontId="4" fillId="0" borderId="0" xfId="0" applyNumberFormat="1" applyFont="1" applyBorder="1"/>
    <xf numFmtId="0" fontId="12" fillId="0" borderId="10" xfId="0" applyFont="1" applyFill="1" applyBorder="1" applyAlignment="1">
      <alignment horizontal="center" vertical="center"/>
    </xf>
    <xf numFmtId="167" fontId="13" fillId="0" borderId="10" xfId="10" applyNumberFormat="1" applyFont="1" applyFill="1" applyBorder="1"/>
    <xf numFmtId="0" fontId="38"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9" xfId="0" applyFont="1" applyFill="1" applyBorder="1" applyAlignment="1">
      <alignment horizontal="center" vertical="center" wrapText="1"/>
    </xf>
    <xf numFmtId="10" fontId="24" fillId="0" borderId="6" xfId="0" applyNumberFormat="1" applyFont="1" applyFill="1" applyBorder="1" applyAlignment="1">
      <alignment horizontal="right" vertical="center" wrapText="1"/>
    </xf>
    <xf numFmtId="10" fontId="24" fillId="0" borderId="8"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167" fontId="24" fillId="0" borderId="0" xfId="1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10" fontId="24" fillId="0" borderId="0" xfId="0" applyNumberFormat="1" applyFont="1" applyFill="1" applyBorder="1" applyAlignment="1">
      <alignment horizontal="right" vertical="center" wrapText="1"/>
    </xf>
    <xf numFmtId="2" fontId="24" fillId="0" borderId="0" xfId="0" applyNumberFormat="1" applyFont="1" applyFill="1" applyBorder="1" applyAlignment="1">
      <alignment horizontal="right" vertical="center" wrapText="1"/>
    </xf>
    <xf numFmtId="167" fontId="37" fillId="0" borderId="2" xfId="10" applyNumberFormat="1" applyFont="1" applyFill="1" applyBorder="1" applyAlignment="1">
      <alignment horizontal="right" vertical="center" wrapText="1"/>
    </xf>
    <xf numFmtId="167" fontId="37" fillId="0" borderId="10" xfId="10" applyNumberFormat="1" applyFont="1" applyFill="1" applyBorder="1" applyAlignment="1">
      <alignment horizontal="right" vertical="center" wrapText="1"/>
    </xf>
    <xf numFmtId="0" fontId="38" fillId="7"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3" fontId="4" fillId="0" borderId="0" xfId="0" applyNumberFormat="1" applyFont="1" applyAlignment="1">
      <alignment wrapText="1"/>
    </xf>
    <xf numFmtId="3" fontId="4" fillId="0" borderId="2" xfId="0" applyNumberFormat="1" applyFont="1" applyBorder="1" applyAlignment="1">
      <alignment horizontal="right" vertical="center" wrapText="1"/>
    </xf>
    <xf numFmtId="167" fontId="4" fillId="0" borderId="2" xfId="10" applyNumberFormat="1" applyFont="1" applyBorder="1" applyAlignment="1">
      <alignment horizontal="right" vertical="center" wrapText="1"/>
    </xf>
    <xf numFmtId="6" fontId="5" fillId="0" borderId="2" xfId="0" applyNumberFormat="1" applyFont="1" applyBorder="1"/>
    <xf numFmtId="167" fontId="5" fillId="0" borderId="2" xfId="10" applyNumberFormat="1" applyFont="1" applyBorder="1"/>
    <xf numFmtId="167" fontId="4" fillId="0" borderId="0" xfId="0" applyNumberFormat="1" applyFont="1" applyBorder="1"/>
    <xf numFmtId="10" fontId="37" fillId="9" borderId="2" xfId="0" applyNumberFormat="1" applyFont="1" applyFill="1" applyBorder="1" applyAlignment="1">
      <alignment horizontal="right" vertical="center" wrapText="1"/>
    </xf>
    <xf numFmtId="3" fontId="37" fillId="9" borderId="2" xfId="0" applyNumberFormat="1" applyFont="1" applyFill="1" applyBorder="1" applyAlignment="1">
      <alignment horizontal="right" vertical="center" wrapText="1"/>
    </xf>
    <xf numFmtId="1" fontId="5" fillId="0" borderId="0" xfId="0" applyNumberFormat="1" applyFont="1" applyBorder="1" applyAlignment="1">
      <alignment wrapText="1"/>
    </xf>
    <xf numFmtId="1" fontId="12" fillId="0" borderId="0" xfId="0" applyNumberFormat="1" applyFont="1" applyFill="1" applyBorder="1" applyAlignment="1">
      <alignment horizontal="left" vertical="center"/>
    </xf>
    <xf numFmtId="1" fontId="13" fillId="0" borderId="0" xfId="0" applyNumberFormat="1" applyFont="1" applyFill="1" applyBorder="1" applyAlignment="1">
      <alignment horizontal="right" vertical="center"/>
    </xf>
    <xf numFmtId="1" fontId="12" fillId="0" borderId="0" xfId="0" applyNumberFormat="1" applyFont="1" applyFill="1" applyBorder="1"/>
    <xf numFmtId="1" fontId="4" fillId="0" borderId="0" xfId="0" applyNumberFormat="1" applyFont="1" applyBorder="1"/>
    <xf numFmtId="0" fontId="33" fillId="0" borderId="2" xfId="0" applyFont="1" applyFill="1" applyBorder="1" applyAlignment="1">
      <alignment horizontal="center" wrapText="1"/>
    </xf>
    <xf numFmtId="44" fontId="33" fillId="0" borderId="2" xfId="4" applyFont="1" applyFill="1" applyBorder="1" applyAlignment="1">
      <alignment horizontal="center" wrapText="1"/>
    </xf>
    <xf numFmtId="0" fontId="33" fillId="0" borderId="5" xfId="0" applyFont="1" applyBorder="1" applyAlignment="1">
      <alignment horizontal="center" wrapText="1"/>
    </xf>
    <xf numFmtId="0" fontId="33" fillId="0" borderId="2" xfId="0" applyFont="1" applyBorder="1" applyAlignment="1">
      <alignment horizontal="center" wrapText="1"/>
    </xf>
    <xf numFmtId="0" fontId="33" fillId="11" borderId="2" xfId="0" applyFont="1" applyFill="1" applyBorder="1" applyAlignment="1">
      <alignment horizontal="center" wrapText="1"/>
    </xf>
    <xf numFmtId="0" fontId="33" fillId="11" borderId="6" xfId="0" applyFont="1" applyFill="1" applyBorder="1" applyAlignment="1">
      <alignment horizontal="center" wrapText="1"/>
    </xf>
    <xf numFmtId="1" fontId="4" fillId="0" borderId="2" xfId="0" applyNumberFormat="1" applyFont="1" applyBorder="1" applyAlignment="1">
      <alignment horizontal="center"/>
    </xf>
    <xf numFmtId="0" fontId="4" fillId="0" borderId="9" xfId="0" applyFont="1" applyBorder="1"/>
    <xf numFmtId="0" fontId="4" fillId="0" borderId="6" xfId="0" applyFont="1" applyBorder="1"/>
    <xf numFmtId="0" fontId="33" fillId="0" borderId="2" xfId="0" applyFont="1" applyBorder="1" applyAlignment="1"/>
    <xf numFmtId="0" fontId="33" fillId="0" borderId="6" xfId="0" applyFont="1" applyBorder="1" applyAlignment="1"/>
    <xf numFmtId="172" fontId="4" fillId="0" borderId="2" xfId="4" applyNumberFormat="1" applyFont="1" applyBorder="1"/>
    <xf numFmtId="172" fontId="4" fillId="11" borderId="2" xfId="4" applyNumberFormat="1" applyFont="1" applyFill="1" applyBorder="1"/>
    <xf numFmtId="172" fontId="4" fillId="11" borderId="6" xfId="4" applyNumberFormat="1" applyFont="1" applyFill="1" applyBorder="1"/>
    <xf numFmtId="172" fontId="33" fillId="0" borderId="10" xfId="4" applyNumberFormat="1" applyFont="1" applyBorder="1"/>
    <xf numFmtId="172" fontId="33" fillId="11" borderId="10" xfId="4" applyNumberFormat="1" applyFont="1" applyFill="1" applyBorder="1"/>
    <xf numFmtId="172" fontId="33" fillId="11" borderId="8" xfId="4" applyNumberFormat="1" applyFont="1" applyFill="1" applyBorder="1"/>
    <xf numFmtId="172" fontId="4" fillId="0" borderId="2" xfId="0" quotePrefix="1" applyNumberFormat="1" applyFont="1" applyBorder="1"/>
    <xf numFmtId="166" fontId="11" fillId="0" borderId="2"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166" fontId="10" fillId="0" borderId="10" xfId="0" applyNumberFormat="1" applyFont="1" applyFill="1" applyBorder="1" applyAlignment="1">
      <alignment horizontal="right" vertical="center"/>
    </xf>
    <xf numFmtId="166" fontId="11" fillId="0" borderId="0" xfId="0" applyNumberFormat="1" applyFont="1" applyFill="1"/>
    <xf numFmtId="3" fontId="11" fillId="0" borderId="6" xfId="1" applyNumberFormat="1" applyFont="1" applyFill="1" applyBorder="1" applyAlignment="1">
      <alignment horizontal="right"/>
    </xf>
    <xf numFmtId="3" fontId="4" fillId="0" borderId="6" xfId="0" applyNumberFormat="1" applyFont="1" applyBorder="1" applyAlignment="1">
      <alignment horizontal="right"/>
    </xf>
    <xf numFmtId="3" fontId="5" fillId="0" borderId="10" xfId="0" applyNumberFormat="1" applyFont="1" applyBorder="1" applyAlignment="1">
      <alignment horizontal="right"/>
    </xf>
    <xf numFmtId="3" fontId="5" fillId="0" borderId="8" xfId="0" applyNumberFormat="1" applyFont="1" applyBorder="1" applyAlignment="1">
      <alignment horizontal="right"/>
    </xf>
    <xf numFmtId="3" fontId="4" fillId="0" borderId="2" xfId="0" applyNumberFormat="1" applyFont="1" applyBorder="1" applyAlignment="1">
      <alignment horizontal="right"/>
    </xf>
    <xf numFmtId="3" fontId="11" fillId="0" borderId="21" xfId="1" applyNumberFormat="1" applyFont="1" applyFill="1" applyBorder="1" applyAlignment="1">
      <alignment horizontal="right" vertical="center"/>
    </xf>
    <xf numFmtId="3" fontId="4" fillId="0" borderId="6" xfId="0" applyNumberFormat="1" applyFont="1" applyBorder="1" applyAlignment="1">
      <alignment horizontal="right" vertical="center"/>
    </xf>
    <xf numFmtId="3" fontId="4" fillId="0" borderId="21"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8" xfId="0" applyNumberFormat="1" applyFont="1" applyBorder="1" applyAlignment="1">
      <alignment horizontal="right" vertical="center"/>
    </xf>
    <xf numFmtId="3" fontId="5" fillId="0" borderId="22" xfId="0" applyNumberFormat="1" applyFont="1" applyBorder="1" applyAlignment="1">
      <alignment horizontal="right" vertical="center"/>
    </xf>
    <xf numFmtId="3" fontId="11" fillId="0" borderId="5" xfId="1" applyNumberFormat="1" applyFont="1" applyFill="1" applyBorder="1" applyAlignment="1">
      <alignment horizontal="right" vertical="center"/>
    </xf>
    <xf numFmtId="3" fontId="5" fillId="0" borderId="7" xfId="0" applyNumberFormat="1" applyFont="1" applyBorder="1" applyAlignment="1">
      <alignment horizontal="right" vertical="center"/>
    </xf>
    <xf numFmtId="37" fontId="11" fillId="0" borderId="2" xfId="1" applyNumberFormat="1" applyFont="1" applyFill="1" applyBorder="1" applyAlignment="1">
      <alignment horizontal="right" vertical="top"/>
    </xf>
    <xf numFmtId="37" fontId="10" fillId="0" borderId="10" xfId="0" applyNumberFormat="1" applyFont="1" applyFill="1" applyBorder="1" applyAlignment="1">
      <alignment horizontal="right" vertical="top"/>
    </xf>
    <xf numFmtId="171" fontId="11" fillId="0" borderId="2" xfId="0" applyNumberFormat="1" applyFont="1" applyFill="1" applyBorder="1"/>
    <xf numFmtId="172" fontId="11" fillId="0" borderId="2" xfId="4" applyNumberFormat="1" applyFont="1" applyFill="1" applyBorder="1" applyAlignment="1">
      <alignment horizontal="right" vertical="center"/>
    </xf>
    <xf numFmtId="172" fontId="11" fillId="0" borderId="6" xfId="0" applyNumberFormat="1" applyFont="1" applyBorder="1" applyAlignment="1">
      <alignment horizontal="right" vertical="center"/>
    </xf>
    <xf numFmtId="172" fontId="11" fillId="0" borderId="2" xfId="0" applyNumberFormat="1" applyFont="1" applyFill="1" applyBorder="1" applyAlignment="1">
      <alignment horizontal="right" vertical="center"/>
    </xf>
    <xf numFmtId="172" fontId="4" fillId="0" borderId="6" xfId="1" applyNumberFormat="1" applyFont="1" applyFill="1" applyBorder="1" applyAlignment="1">
      <alignment horizontal="right" vertical="center"/>
    </xf>
    <xf numFmtId="3" fontId="4" fillId="0" borderId="2" xfId="1"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2" fontId="4" fillId="0" borderId="2" xfId="0" applyNumberFormat="1" applyFont="1" applyBorder="1"/>
    <xf numFmtId="2" fontId="4" fillId="0" borderId="10" xfId="0" applyNumberFormat="1" applyFont="1" applyBorder="1"/>
    <xf numFmtId="172" fontId="4" fillId="0" borderId="8" xfId="0" applyNumberFormat="1" applyFont="1" applyBorder="1"/>
    <xf numFmtId="0" fontId="32" fillId="0" borderId="28" xfId="0" applyFont="1" applyBorder="1" applyAlignment="1">
      <alignment horizontal="center" vertical="center" wrapText="1"/>
    </xf>
    <xf numFmtId="0" fontId="32" fillId="5" borderId="29" xfId="0" applyFont="1" applyFill="1" applyBorder="1" applyAlignment="1">
      <alignment horizontal="center" vertical="center" wrapText="1"/>
    </xf>
    <xf numFmtId="0" fontId="32" fillId="0" borderId="29" xfId="0" applyFont="1" applyBorder="1" applyAlignment="1">
      <alignment horizontal="center" vertical="center" wrapText="1"/>
    </xf>
    <xf numFmtId="0" fontId="39" fillId="0" borderId="14" xfId="0" applyFont="1" applyBorder="1" applyAlignment="1">
      <alignment vertical="center" wrapText="1"/>
    </xf>
    <xf numFmtId="0" fontId="39" fillId="5" borderId="15" xfId="0" applyFont="1" applyFill="1" applyBorder="1" applyAlignment="1">
      <alignment horizontal="center" vertical="center" wrapText="1"/>
    </xf>
    <xf numFmtId="0" fontId="39" fillId="0" borderId="15" xfId="0" applyFont="1" applyBorder="1" applyAlignment="1">
      <alignment horizontal="center" vertical="center" wrapText="1"/>
    </xf>
    <xf numFmtId="43" fontId="39" fillId="5" borderId="15" xfId="0" applyNumberFormat="1" applyFont="1" applyFill="1" applyBorder="1" applyAlignment="1">
      <alignment horizontal="center" vertical="center" wrapText="1"/>
    </xf>
    <xf numFmtId="172" fontId="39" fillId="0" borderId="15" xfId="0" applyNumberFormat="1" applyFont="1" applyBorder="1" applyAlignment="1">
      <alignment horizontal="center" vertical="center" wrapText="1"/>
    </xf>
    <xf numFmtId="6" fontId="39" fillId="5" borderId="15" xfId="0" applyNumberFormat="1" applyFont="1" applyFill="1" applyBorder="1" applyAlignment="1">
      <alignment horizontal="center" vertical="center" wrapText="1"/>
    </xf>
    <xf numFmtId="167" fontId="39" fillId="0" borderId="15" xfId="10" applyNumberFormat="1" applyFont="1" applyBorder="1" applyAlignment="1">
      <alignment horizontal="center" vertical="center" wrapText="1"/>
    </xf>
    <xf numFmtId="2" fontId="39" fillId="5" borderId="15" xfId="0" applyNumberFormat="1" applyFont="1" applyFill="1" applyBorder="1" applyAlignment="1">
      <alignment horizontal="center" vertical="center" wrapText="1"/>
    </xf>
    <xf numFmtId="0" fontId="3" fillId="0" borderId="0" xfId="6" applyFill="1" applyAlignment="1" applyProtection="1"/>
    <xf numFmtId="0" fontId="10" fillId="0" borderId="2" xfId="0" applyFont="1" applyFill="1" applyBorder="1" applyAlignment="1">
      <alignment horizontal="center" wrapText="1"/>
    </xf>
    <xf numFmtId="0" fontId="10" fillId="0" borderId="2" xfId="0" applyFont="1" applyFill="1" applyBorder="1"/>
    <xf numFmtId="0" fontId="11" fillId="0" borderId="2" xfId="0" applyFont="1" applyFill="1" applyBorder="1" applyAlignment="1">
      <alignment wrapText="1"/>
    </xf>
    <xf numFmtId="10" fontId="11" fillId="0" borderId="2" xfId="10" applyNumberFormat="1" applyFont="1" applyFill="1" applyBorder="1"/>
    <xf numFmtId="0" fontId="11" fillId="0" borderId="2" xfId="0" applyFont="1" applyFill="1" applyBorder="1"/>
    <xf numFmtId="1" fontId="11" fillId="0" borderId="2" xfId="0" applyNumberFormat="1" applyFont="1" applyFill="1" applyBorder="1"/>
    <xf numFmtId="170" fontId="11" fillId="0" borderId="2" xfId="0" applyNumberFormat="1" applyFont="1" applyFill="1" applyBorder="1"/>
    <xf numFmtId="175" fontId="11" fillId="0" borderId="2" xfId="0" applyNumberFormat="1" applyFont="1" applyFill="1" applyBorder="1"/>
    <xf numFmtId="2" fontId="11" fillId="0" borderId="2" xfId="0" applyNumberFormat="1" applyFont="1" applyFill="1" applyBorder="1"/>
    <xf numFmtId="4" fontId="11" fillId="0" borderId="2" xfId="0" applyNumberFormat="1" applyFont="1" applyFill="1" applyBorder="1" applyAlignment="1">
      <alignment horizontal="right" vertical="center"/>
    </xf>
    <xf numFmtId="171" fontId="11" fillId="0" borderId="2" xfId="0" applyNumberFormat="1" applyFont="1" applyFill="1" applyBorder="1" applyAlignment="1">
      <alignment horizontal="right" vertical="center"/>
    </xf>
    <xf numFmtId="0" fontId="27" fillId="0" borderId="0" xfId="6" applyFont="1" applyFill="1" applyAlignment="1" applyProtection="1"/>
    <xf numFmtId="3" fontId="11" fillId="0" borderId="2" xfId="10" applyNumberFormat="1" applyFont="1" applyFill="1" applyBorder="1"/>
    <xf numFmtId="172" fontId="11" fillId="0" borderId="2" xfId="10" applyNumberFormat="1" applyFont="1" applyFill="1" applyBorder="1"/>
    <xf numFmtId="0" fontId="11" fillId="0" borderId="0" xfId="0" applyFont="1" applyFill="1" applyBorder="1" applyAlignment="1">
      <alignment wrapText="1"/>
    </xf>
    <xf numFmtId="3" fontId="11" fillId="0" borderId="0" xfId="10" applyNumberFormat="1" applyFont="1" applyFill="1" applyBorder="1"/>
    <xf numFmtId="0" fontId="11" fillId="0" borderId="0" xfId="0" applyFont="1" applyFill="1" applyAlignment="1">
      <alignment wrapText="1"/>
    </xf>
    <xf numFmtId="0" fontId="11" fillId="0" borderId="0" xfId="0" applyFont="1" applyFill="1" applyAlignment="1">
      <alignment horizontal="left" vertical="center" wrapText="1"/>
    </xf>
    <xf numFmtId="0" fontId="9" fillId="0" borderId="5" xfId="0" applyFont="1" applyBorder="1" applyAlignment="1">
      <alignment vertical="center" wrapText="1"/>
    </xf>
    <xf numFmtId="0" fontId="9" fillId="0" borderId="2" xfId="0" applyFont="1" applyBorder="1" applyAlignment="1">
      <alignment vertical="center" wrapText="1"/>
    </xf>
    <xf numFmtId="0" fontId="9" fillId="10" borderId="7" xfId="0" applyFont="1" applyFill="1" applyBorder="1" applyAlignment="1">
      <alignment vertical="center" wrapText="1"/>
    </xf>
    <xf numFmtId="0" fontId="9" fillId="10" borderId="10" xfId="0" applyFont="1" applyFill="1" applyBorder="1" applyAlignment="1">
      <alignment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Alignment="1">
      <alignment horizontal="center"/>
    </xf>
    <xf numFmtId="0" fontId="10" fillId="0" borderId="0" xfId="0" applyFont="1" applyFill="1" applyAlignment="1">
      <alignment horizontal="center"/>
    </xf>
    <xf numFmtId="0" fontId="10" fillId="0" borderId="2" xfId="0" applyFont="1" applyFill="1" applyBorder="1" applyAlignment="1">
      <alignment horizont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3" fontId="5" fillId="0" borderId="32" xfId="0" applyNumberFormat="1" applyFont="1" applyBorder="1" applyAlignment="1">
      <alignment horizontal="center" vertical="center" wrapText="1"/>
    </xf>
    <xf numFmtId="3" fontId="5" fillId="0" borderId="33" xfId="0" applyNumberFormat="1" applyFont="1" applyBorder="1" applyAlignment="1">
      <alignment horizontal="center" vertical="center" wrapText="1"/>
    </xf>
    <xf numFmtId="0" fontId="10" fillId="0" borderId="34"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10" fillId="0" borderId="34" xfId="0" applyFont="1" applyFill="1" applyBorder="1" applyAlignment="1">
      <alignment horizontal="center"/>
    </xf>
    <xf numFmtId="0" fontId="10" fillId="0" borderId="22" xfId="0" applyFont="1" applyFill="1" applyBorder="1" applyAlignment="1">
      <alignment horizontal="center"/>
    </xf>
    <xf numFmtId="0" fontId="5" fillId="0" borderId="34" xfId="0" applyFont="1" applyFill="1" applyBorder="1" applyAlignment="1">
      <alignment horizontal="center"/>
    </xf>
    <xf numFmtId="0" fontId="5" fillId="0" borderId="22" xfId="0" applyFont="1" applyFill="1" applyBorder="1" applyAlignment="1">
      <alignment horizont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10" fillId="0" borderId="7" xfId="7" applyFont="1" applyFill="1" applyBorder="1" applyAlignment="1">
      <alignment horizontal="center" vertical="center"/>
    </xf>
    <xf numFmtId="0" fontId="10" fillId="0" borderId="10" xfId="7" applyFont="1" applyFill="1" applyBorder="1" applyAlignment="1">
      <alignment horizontal="center" vertical="center"/>
    </xf>
    <xf numFmtId="0" fontId="33" fillId="0" borderId="35"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10" fillId="0" borderId="34" xfId="7" applyFont="1" applyFill="1" applyBorder="1" applyAlignment="1">
      <alignment horizontal="center" vertical="center"/>
    </xf>
    <xf numFmtId="0" fontId="10" fillId="0" borderId="22" xfId="7" applyFont="1" applyFill="1" applyBorder="1" applyAlignment="1">
      <alignment horizontal="center" vertical="center"/>
    </xf>
    <xf numFmtId="0" fontId="32" fillId="0" borderId="23" xfId="0" applyFont="1" applyBorder="1" applyAlignment="1">
      <alignment horizontal="right" vertical="center" wrapText="1"/>
    </xf>
    <xf numFmtId="0" fontId="32" fillId="0" borderId="19" xfId="0" applyFont="1" applyBorder="1" applyAlignment="1">
      <alignment horizontal="right" vertical="center" wrapText="1"/>
    </xf>
    <xf numFmtId="0" fontId="32" fillId="0" borderId="29" xfId="0" applyFont="1" applyBorder="1" applyAlignment="1">
      <alignment horizontal="right" vertical="center" wrapText="1"/>
    </xf>
    <xf numFmtId="0" fontId="35" fillId="0" borderId="23" xfId="0" applyFont="1" applyBorder="1" applyAlignment="1">
      <alignment horizontal="right" vertical="center" wrapText="1"/>
    </xf>
    <xf numFmtId="0" fontId="35" fillId="0" borderId="19" xfId="0" applyFont="1" applyBorder="1" applyAlignment="1">
      <alignment horizontal="right" vertical="center" wrapText="1"/>
    </xf>
    <xf numFmtId="0" fontId="35" fillId="0" borderId="29" xfId="0" applyFont="1" applyBorder="1" applyAlignment="1">
      <alignment horizontal="right" vertical="center" wrapText="1"/>
    </xf>
    <xf numFmtId="0" fontId="35" fillId="6" borderId="23" xfId="0" applyFont="1" applyFill="1" applyBorder="1" applyAlignment="1">
      <alignment horizontal="right" vertical="center" wrapText="1"/>
    </xf>
    <xf numFmtId="0" fontId="35" fillId="6" borderId="19" xfId="0" applyFont="1" applyFill="1" applyBorder="1" applyAlignment="1">
      <alignment horizontal="right" vertical="center" wrapText="1"/>
    </xf>
    <xf numFmtId="0" fontId="35" fillId="6" borderId="29" xfId="0" applyFont="1" applyFill="1" applyBorder="1" applyAlignment="1">
      <alignment horizontal="right" vertical="center" wrapText="1"/>
    </xf>
    <xf numFmtId="0" fontId="34" fillId="5" borderId="23" xfId="0" applyFont="1" applyFill="1" applyBorder="1" applyAlignment="1">
      <alignment vertical="center" wrapText="1"/>
    </xf>
    <xf numFmtId="0" fontId="34" fillId="5" borderId="19" xfId="0" applyFont="1" applyFill="1" applyBorder="1" applyAlignment="1">
      <alignment vertical="center" wrapText="1"/>
    </xf>
    <xf numFmtId="0" fontId="34" fillId="5" borderId="29" xfId="0" applyFont="1" applyFill="1" applyBorder="1" applyAlignment="1">
      <alignment vertical="center" wrapText="1"/>
    </xf>
    <xf numFmtId="0" fontId="32" fillId="6" borderId="23"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9" xfId="0" applyFont="1" applyFill="1" applyBorder="1" applyAlignment="1">
      <alignment horizontal="center" vertical="center" wrapText="1"/>
    </xf>
    <xf numFmtId="172" fontId="12" fillId="0" borderId="18" xfId="0" applyNumberFormat="1" applyFont="1" applyBorder="1" applyAlignment="1">
      <alignment horizontal="center" vertical="center" wrapText="1"/>
    </xf>
    <xf numFmtId="172" fontId="12" fillId="0" borderId="4" xfId="0" applyNumberFormat="1" applyFont="1" applyBorder="1" applyAlignment="1">
      <alignment horizontal="center" vertical="center" wrapText="1"/>
    </xf>
    <xf numFmtId="172" fontId="12" fillId="0" borderId="9" xfId="0" applyNumberFormat="1" applyFont="1" applyBorder="1" applyAlignment="1">
      <alignment horizontal="center" vertical="center" wrapText="1"/>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38" fillId="6" borderId="2"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8" fillId="6" borderId="39" xfId="0" applyFont="1" applyFill="1" applyBorder="1" applyAlignment="1">
      <alignment horizontal="center" vertical="center" wrapText="1"/>
    </xf>
    <xf numFmtId="0" fontId="38"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17" xfId="0" applyFont="1" applyFill="1" applyBorder="1" applyAlignment="1">
      <alignment horizontal="center" vertical="center" wrapText="1"/>
    </xf>
    <xf numFmtId="0" fontId="38" fillId="5" borderId="2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34" xfId="0" applyFont="1" applyFill="1" applyBorder="1" applyAlignment="1">
      <alignment horizontal="center"/>
    </xf>
    <xf numFmtId="0" fontId="12" fillId="0" borderId="22" xfId="0" applyFont="1" applyFill="1" applyBorder="1" applyAlignment="1">
      <alignment horizont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Border="1" applyAlignment="1">
      <alignment horizontal="center" vertical="center" wrapText="1"/>
    </xf>
    <xf numFmtId="0" fontId="37" fillId="0" borderId="0" xfId="0" applyFont="1" applyFill="1" applyBorder="1" applyAlignment="1">
      <alignment horizontal="center" vertical="center" wrapText="1"/>
    </xf>
    <xf numFmtId="0" fontId="26" fillId="0" borderId="2" xfId="0" applyFont="1" applyBorder="1" applyAlignment="1">
      <alignment vertical="center" wrapText="1"/>
    </xf>
    <xf numFmtId="0" fontId="4" fillId="0" borderId="0" xfId="0" applyFont="1" applyAlignment="1">
      <alignment horizont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33" fillId="0" borderId="7" xfId="0" applyFont="1" applyBorder="1" applyAlignment="1">
      <alignment horizontal="left"/>
    </xf>
    <xf numFmtId="0" fontId="33" fillId="0" borderId="10" xfId="0" applyFont="1" applyBorder="1" applyAlignment="1">
      <alignment horizontal="left"/>
    </xf>
    <xf numFmtId="0" fontId="4" fillId="11" borderId="2" xfId="0" applyFont="1" applyFill="1" applyBorder="1" applyAlignment="1">
      <alignment horizontal="center"/>
    </xf>
    <xf numFmtId="0" fontId="4" fillId="11" borderId="6" xfId="0" applyFont="1" applyFill="1" applyBorder="1" applyAlignment="1">
      <alignment horizontal="center"/>
    </xf>
    <xf numFmtId="0" fontId="33" fillId="0" borderId="2"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33" fillId="0" borderId="5" xfId="0" applyFont="1" applyBorder="1" applyAlignment="1">
      <alignment horizontal="center"/>
    </xf>
  </cellXfs>
  <cellStyles count="12">
    <cellStyle name="Comma" xfId="1" builtinId="3"/>
    <cellStyle name="Comma 2" xfId="2"/>
    <cellStyle name="Comma 3" xfId="3"/>
    <cellStyle name="Currency" xfId="4" builtinId="4"/>
    <cellStyle name="Currency 2" xfId="5"/>
    <cellStyle name="Hyperlink" xfId="6" builtinId="8"/>
    <cellStyle name="Normal" xfId="0" builtinId="0"/>
    <cellStyle name="Normal 2" xfId="7"/>
    <cellStyle name="Note 2" xfId="8"/>
    <cellStyle name="Note 3" xfId="9"/>
    <cellStyle name="Percent" xfId="10"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88900</xdr:colOff>
      <xdr:row>3</xdr:row>
      <xdr:rowOff>79375</xdr:rowOff>
    </xdr:from>
    <xdr:to>
      <xdr:col>21</xdr:col>
      <xdr:colOff>292100</xdr:colOff>
      <xdr:row>21</xdr:row>
      <xdr:rowOff>127000</xdr:rowOff>
    </xdr:to>
    <xdr:pic>
      <xdr:nvPicPr>
        <xdr:cNvPr id="753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78150" y="698500"/>
          <a:ext cx="6235700" cy="325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tabSelected="1" zoomScaleNormal="100" workbookViewId="0">
      <selection activeCell="A2" sqref="A2"/>
    </sheetView>
  </sheetViews>
  <sheetFormatPr defaultRowHeight="12.75" x14ac:dyDescent="0.2"/>
  <cols>
    <col min="1" max="1" width="17" style="1" customWidth="1"/>
    <col min="2" max="2" width="14.7109375" style="1" customWidth="1"/>
    <col min="3" max="3" width="11.42578125" style="1" customWidth="1"/>
    <col min="4" max="4" width="20" style="1" customWidth="1"/>
    <col min="5" max="5" width="14.42578125" style="1" customWidth="1"/>
    <col min="6" max="7" width="11.85546875" style="1" customWidth="1"/>
    <col min="8" max="16384" width="9.140625" style="1"/>
  </cols>
  <sheetData>
    <row r="2" spans="1:7" ht="18.75" x14ac:dyDescent="0.3">
      <c r="A2" s="5" t="s">
        <v>260</v>
      </c>
    </row>
    <row r="4" spans="1:7" ht="13.5" thickBot="1" x14ac:dyDescent="0.25"/>
    <row r="5" spans="1:7" ht="60.75" customHeight="1" x14ac:dyDescent="0.2">
      <c r="A5" s="60" t="s">
        <v>13</v>
      </c>
      <c r="B5" s="61" t="s">
        <v>14</v>
      </c>
      <c r="C5" s="61" t="s">
        <v>15</v>
      </c>
      <c r="D5" s="61" t="s">
        <v>16</v>
      </c>
      <c r="E5" s="61" t="s">
        <v>17</v>
      </c>
      <c r="F5" s="61" t="s">
        <v>18</v>
      </c>
      <c r="G5" s="62" t="s">
        <v>19</v>
      </c>
    </row>
    <row r="6" spans="1:7" ht="140.25" x14ac:dyDescent="0.2">
      <c r="A6" s="63" t="s">
        <v>254</v>
      </c>
      <c r="B6" s="33" t="s">
        <v>255</v>
      </c>
      <c r="C6" s="33" t="s">
        <v>278</v>
      </c>
      <c r="D6" s="59" t="s">
        <v>259</v>
      </c>
      <c r="E6" s="58" t="s">
        <v>117</v>
      </c>
      <c r="F6" s="33" t="str">
        <f>"$"&amp;'T2 Summary'!C32&amp;" million in benefits"</f>
        <v>$74.6 million in benefits</v>
      </c>
      <c r="G6" s="64" t="s">
        <v>28</v>
      </c>
    </row>
    <row r="7" spans="1:7" ht="166.5" thickBot="1" x14ac:dyDescent="0.25">
      <c r="A7" s="65" t="s">
        <v>256</v>
      </c>
      <c r="B7" s="66" t="s">
        <v>257</v>
      </c>
      <c r="C7" s="66" t="s">
        <v>258</v>
      </c>
      <c r="D7" s="67" t="s">
        <v>259</v>
      </c>
      <c r="E7" s="68" t="s">
        <v>117</v>
      </c>
      <c r="F7" s="66" t="str">
        <f>"$"&amp;'T2 Summary'!C31&amp;" million in benefits"</f>
        <v>$12.6 million in benefits</v>
      </c>
      <c r="G7" s="69" t="s">
        <v>28</v>
      </c>
    </row>
  </sheetData>
  <pageMargins left="0.25" right="0.2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heetViews>
  <sheetFormatPr defaultRowHeight="12.75" x14ac:dyDescent="0.2"/>
  <cols>
    <col min="1" max="2" width="9.140625" style="234"/>
    <col min="3" max="7" width="15.7109375" style="1" customWidth="1"/>
    <col min="8" max="16384" width="9.140625" style="1"/>
  </cols>
  <sheetData>
    <row r="1" spans="1:7" ht="38.25" x14ac:dyDescent="0.2">
      <c r="A1" s="218" t="s">
        <v>130</v>
      </c>
      <c r="B1" s="162" t="s">
        <v>2</v>
      </c>
      <c r="C1" s="176" t="s">
        <v>45</v>
      </c>
      <c r="D1" s="163" t="s">
        <v>39</v>
      </c>
      <c r="E1" s="163" t="s">
        <v>40</v>
      </c>
      <c r="F1" s="163" t="s">
        <v>41</v>
      </c>
      <c r="G1" s="164" t="s">
        <v>42</v>
      </c>
    </row>
    <row r="2" spans="1:7" x14ac:dyDescent="0.2">
      <c r="A2" s="226">
        <v>-1</v>
      </c>
      <c r="B2" s="71">
        <v>2018</v>
      </c>
      <c r="C2" s="52">
        <f>'T8 Crane Reliability'!E4</f>
        <v>0</v>
      </c>
      <c r="D2" s="52">
        <f>((C2*'T3 Inputs'!$B$33)*'T3 Inputs'!$B$29)/907184</f>
        <v>0</v>
      </c>
      <c r="E2" s="52">
        <f>((C2*'T3 Inputs'!$B$33)*'T3 Inputs'!$B$30)/907184</f>
        <v>0</v>
      </c>
      <c r="F2" s="52">
        <f>((C2*'T3 Inputs'!$B$33)*'T3 Inputs'!$B$31)/907184</f>
        <v>0</v>
      </c>
      <c r="G2" s="504">
        <f>((C2*'T3 Inputs'!$B$33)*'T3 Inputs'!$B$32)/907184</f>
        <v>0</v>
      </c>
    </row>
    <row r="3" spans="1:7" x14ac:dyDescent="0.2">
      <c r="A3" s="226">
        <f>A2+1</f>
        <v>0</v>
      </c>
      <c r="B3" s="70">
        <v>2019</v>
      </c>
      <c r="C3" s="52">
        <f>'T8 Crane Reliability'!E5</f>
        <v>0</v>
      </c>
      <c r="D3" s="52">
        <f>((C3*'T3 Inputs'!$B$33)*'T3 Inputs'!$B$29)/907184</f>
        <v>0</v>
      </c>
      <c r="E3" s="52">
        <f>((C3*'T3 Inputs'!$B$33)*'T3 Inputs'!$B$30)/907184</f>
        <v>0</v>
      </c>
      <c r="F3" s="52">
        <f>((C3*'T3 Inputs'!$B$33)*'T3 Inputs'!$B$31)/907184</f>
        <v>0</v>
      </c>
      <c r="G3" s="504">
        <f>((C3*'T3 Inputs'!$B$33)*'T3 Inputs'!$B$32)/907184</f>
        <v>0</v>
      </c>
    </row>
    <row r="4" spans="1:7" x14ac:dyDescent="0.2">
      <c r="A4" s="226">
        <f t="shared" ref="A4:A33" si="0">A3+1</f>
        <v>1</v>
      </c>
      <c r="B4" s="70">
        <v>2020</v>
      </c>
      <c r="C4" s="52">
        <f>'T8 Crane Reliability'!E6</f>
        <v>399.5136</v>
      </c>
      <c r="D4" s="52">
        <f>((C4*'T3 Inputs'!$B$33)*'T3 Inputs'!$B$29)/907184</f>
        <v>22.45982468826611</v>
      </c>
      <c r="E4" s="52">
        <f>((C4*'T3 Inputs'!$B$33)*'T3 Inputs'!$B$30)/907184</f>
        <v>13.211661581333004</v>
      </c>
      <c r="F4" s="52">
        <f>((C4*'T3 Inputs'!$B$33)*'T3 Inputs'!$B$31)/907184</f>
        <v>865.36383357731177</v>
      </c>
      <c r="G4" s="504">
        <f>((C4*'T3 Inputs'!$B$33)*'T3 Inputs'!$B$32)/907184</f>
        <v>1.6514576976666255</v>
      </c>
    </row>
    <row r="5" spans="1:7" x14ac:dyDescent="0.2">
      <c r="A5" s="226">
        <f t="shared" si="0"/>
        <v>2</v>
      </c>
      <c r="B5" s="70">
        <v>2021</v>
      </c>
      <c r="C5" s="35">
        <f>'T8 Crane Reliability'!E7</f>
        <v>407.503872</v>
      </c>
      <c r="D5" s="508">
        <f>((C5*'T3 Inputs'!$B$33)*'T3 Inputs'!$B$29)/907184</f>
        <v>22.909021182031427</v>
      </c>
      <c r="E5" s="508">
        <f>((C5*'T3 Inputs'!$B$33)*'T3 Inputs'!$B$30)/907184</f>
        <v>13.475894812959664</v>
      </c>
      <c r="F5" s="508">
        <f>((C5*'T3 Inputs'!$B$33)*'T3 Inputs'!$B$31)/907184</f>
        <v>882.67111024885787</v>
      </c>
      <c r="G5" s="505">
        <f>((C5*'T3 Inputs'!$B$33)*'T3 Inputs'!$B$32)/907184</f>
        <v>1.684486851619958</v>
      </c>
    </row>
    <row r="6" spans="1:7" x14ac:dyDescent="0.2">
      <c r="A6" s="226">
        <f t="shared" si="0"/>
        <v>3</v>
      </c>
      <c r="B6" s="70">
        <v>2022</v>
      </c>
      <c r="C6" s="35">
        <f>'T8 Crane Reliability'!E8</f>
        <v>415.65394944000002</v>
      </c>
      <c r="D6" s="508">
        <f>((C6*'T3 Inputs'!$B$33)*'T3 Inputs'!$B$29)/907184</f>
        <v>23.367201605672058</v>
      </c>
      <c r="E6" s="508">
        <f>((C6*'T3 Inputs'!$B$33)*'T3 Inputs'!$B$30)/907184</f>
        <v>13.745412709218858</v>
      </c>
      <c r="F6" s="508">
        <f>((C6*'T3 Inputs'!$B$33)*'T3 Inputs'!$B$31)/907184</f>
        <v>900.32453245383522</v>
      </c>
      <c r="G6" s="505">
        <f>((C6*'T3 Inputs'!$B$33)*'T3 Inputs'!$B$32)/907184</f>
        <v>1.7181765886523572</v>
      </c>
    </row>
    <row r="7" spans="1:7" x14ac:dyDescent="0.2">
      <c r="A7" s="226">
        <f t="shared" si="0"/>
        <v>4</v>
      </c>
      <c r="B7" s="70">
        <v>2023</v>
      </c>
      <c r="C7" s="35">
        <f>'T8 Crane Reliability'!E9</f>
        <v>423.96702842880001</v>
      </c>
      <c r="D7" s="508">
        <f>((C7*'T3 Inputs'!$B$33)*'T3 Inputs'!$B$29)/907184</f>
        <v>23.834545637785499</v>
      </c>
      <c r="E7" s="508">
        <f>((C7*'T3 Inputs'!$B$33)*'T3 Inputs'!$B$30)/907184</f>
        <v>14.020320963403236</v>
      </c>
      <c r="F7" s="508">
        <f>((C7*'T3 Inputs'!$B$33)*'T3 Inputs'!$B$31)/907184</f>
        <v>918.3310231029119</v>
      </c>
      <c r="G7" s="505">
        <f>((C7*'T3 Inputs'!$B$33)*'T3 Inputs'!$B$32)/907184</f>
        <v>1.7525401204254045</v>
      </c>
    </row>
    <row r="8" spans="1:7" x14ac:dyDescent="0.2">
      <c r="A8" s="226">
        <f t="shared" si="0"/>
        <v>5</v>
      </c>
      <c r="B8" s="70">
        <v>2024</v>
      </c>
      <c r="C8" s="35">
        <f>'T8 Crane Reliability'!E10</f>
        <v>432.446368997376</v>
      </c>
      <c r="D8" s="508">
        <f>((C8*'T3 Inputs'!$B$33)*'T3 Inputs'!$B$29)/907184</f>
        <v>24.31123655054121</v>
      </c>
      <c r="E8" s="508">
        <f>((C8*'T3 Inputs'!$B$33)*'T3 Inputs'!$B$30)/907184</f>
        <v>14.300727382671301</v>
      </c>
      <c r="F8" s="508">
        <f>((C8*'T3 Inputs'!$B$33)*'T3 Inputs'!$B$31)/907184</f>
        <v>936.69764356497012</v>
      </c>
      <c r="G8" s="505">
        <f>((C8*'T3 Inputs'!$B$33)*'T3 Inputs'!$B$32)/907184</f>
        <v>1.7875909228339126</v>
      </c>
    </row>
    <row r="9" spans="1:7" x14ac:dyDescent="0.2">
      <c r="A9" s="226">
        <f t="shared" si="0"/>
        <v>6</v>
      </c>
      <c r="B9" s="70">
        <v>2025</v>
      </c>
      <c r="C9" s="35">
        <f>'T8 Crane Reliability'!E11</f>
        <v>441.09529637732351</v>
      </c>
      <c r="D9" s="508">
        <f>((C9*'T3 Inputs'!$B$33)*'T3 Inputs'!$B$29)/907184</f>
        <v>24.797461281552032</v>
      </c>
      <c r="E9" s="508">
        <f>((C9*'T3 Inputs'!$B$33)*'T3 Inputs'!$B$30)/907184</f>
        <v>14.586741930324726</v>
      </c>
      <c r="F9" s="508">
        <f>((C9*'T3 Inputs'!$B$33)*'T3 Inputs'!$B$31)/907184</f>
        <v>955.43159643626939</v>
      </c>
      <c r="G9" s="505">
        <f>((C9*'T3 Inputs'!$B$33)*'T3 Inputs'!$B$32)/907184</f>
        <v>1.8233427412905907</v>
      </c>
    </row>
    <row r="10" spans="1:7" x14ac:dyDescent="0.2">
      <c r="A10" s="226">
        <f t="shared" si="0"/>
        <v>7</v>
      </c>
      <c r="B10" s="70">
        <v>2026</v>
      </c>
      <c r="C10" s="35">
        <f>'T8 Crane Reliability'!E12</f>
        <v>449.91720230487005</v>
      </c>
      <c r="D10" s="508">
        <f>((C10*'T3 Inputs'!$B$33)*'T3 Inputs'!$B$29)/907184</f>
        <v>25.293410507183076</v>
      </c>
      <c r="E10" s="508">
        <f>((C10*'T3 Inputs'!$B$33)*'T3 Inputs'!$B$30)/907184</f>
        <v>14.87847676893122</v>
      </c>
      <c r="F10" s="508">
        <f>((C10*'T3 Inputs'!$B$33)*'T3 Inputs'!$B$31)/907184</f>
        <v>974.54022836499507</v>
      </c>
      <c r="G10" s="505">
        <f>((C10*'T3 Inputs'!$B$33)*'T3 Inputs'!$B$32)/907184</f>
        <v>1.8598095961164025</v>
      </c>
    </row>
    <row r="11" spans="1:7" x14ac:dyDescent="0.2">
      <c r="A11" s="226">
        <f t="shared" si="0"/>
        <v>8</v>
      </c>
      <c r="B11" s="70">
        <v>2027</v>
      </c>
      <c r="C11" s="35">
        <f>'T8 Crane Reliability'!E13</f>
        <v>458.91554635096747</v>
      </c>
      <c r="D11" s="508">
        <f>((C11*'T3 Inputs'!$B$33)*'T3 Inputs'!$B$29)/907184</f>
        <v>25.799278717326736</v>
      </c>
      <c r="E11" s="508">
        <f>((C11*'T3 Inputs'!$B$33)*'T3 Inputs'!$B$30)/907184</f>
        <v>15.176046304309846</v>
      </c>
      <c r="F11" s="508">
        <f>((C11*'T3 Inputs'!$B$33)*'T3 Inputs'!$B$31)/907184</f>
        <v>994.03103293229492</v>
      </c>
      <c r="G11" s="505">
        <f>((C11*'T3 Inputs'!$B$33)*'T3 Inputs'!$B$32)/907184</f>
        <v>1.8970057880387308</v>
      </c>
    </row>
    <row r="12" spans="1:7" x14ac:dyDescent="0.2">
      <c r="A12" s="226">
        <f t="shared" si="0"/>
        <v>9</v>
      </c>
      <c r="B12" s="70">
        <v>2028</v>
      </c>
      <c r="C12" s="35">
        <f>'T8 Crane Reliability'!E14</f>
        <v>468.09385727798679</v>
      </c>
      <c r="D12" s="508">
        <f>((C12*'T3 Inputs'!$B$33)*'T3 Inputs'!$B$29)/907184</f>
        <v>26.31526429167327</v>
      </c>
      <c r="E12" s="508">
        <f>((C12*'T3 Inputs'!$B$33)*'T3 Inputs'!$B$30)/907184</f>
        <v>15.479567230396043</v>
      </c>
      <c r="F12" s="508">
        <f>((C12*'T3 Inputs'!$B$33)*'T3 Inputs'!$B$31)/907184</f>
        <v>1013.9116535909408</v>
      </c>
      <c r="G12" s="505">
        <f>((C12*'T3 Inputs'!$B$33)*'T3 Inputs'!$B$32)/907184</f>
        <v>1.9349459037995054</v>
      </c>
    </row>
    <row r="13" spans="1:7" x14ac:dyDescent="0.2">
      <c r="A13" s="226">
        <f t="shared" si="0"/>
        <v>10</v>
      </c>
      <c r="B13" s="70">
        <v>2029</v>
      </c>
      <c r="C13" s="35">
        <f>'T8 Crane Reliability'!E15</f>
        <v>477.45573442354657</v>
      </c>
      <c r="D13" s="508">
        <f>((C13*'T3 Inputs'!$B$33)*'T3 Inputs'!$B$29)/907184</f>
        <v>26.841569577506743</v>
      </c>
      <c r="E13" s="508">
        <f>((C13*'T3 Inputs'!$B$33)*'T3 Inputs'!$B$30)/907184</f>
        <v>15.789158575003967</v>
      </c>
      <c r="F13" s="508">
        <f>((C13*'T3 Inputs'!$B$33)*'T3 Inputs'!$B$31)/907184</f>
        <v>1034.1898866627598</v>
      </c>
      <c r="G13" s="505">
        <f>((C13*'T3 Inputs'!$B$33)*'T3 Inputs'!$B$32)/907184</f>
        <v>1.9736448218754958</v>
      </c>
    </row>
    <row r="14" spans="1:7" x14ac:dyDescent="0.2">
      <c r="A14" s="226">
        <f t="shared" si="0"/>
        <v>11</v>
      </c>
      <c r="B14" s="70">
        <v>2030</v>
      </c>
      <c r="C14" s="35">
        <f>'T8 Crane Reliability'!E16</f>
        <v>474.60484911201752</v>
      </c>
      <c r="D14" s="508">
        <f>((C14*'T3 Inputs'!$B$33)*'T3 Inputs'!$B$29)/907184</f>
        <v>26.681298727394768</v>
      </c>
      <c r="E14" s="508">
        <f>((C14*'T3 Inputs'!$B$33)*'T3 Inputs'!$B$30)/907184</f>
        <v>15.694881604349865</v>
      </c>
      <c r="F14" s="508">
        <f>((C14*'T3 Inputs'!$B$33)*'T3 Inputs'!$B$31)/907184</f>
        <v>1028.0147450849161</v>
      </c>
      <c r="G14" s="505">
        <f>((C14*'T3 Inputs'!$B$33)*'T3 Inputs'!$B$32)/907184</f>
        <v>1.9618602005437331</v>
      </c>
    </row>
    <row r="15" spans="1:7" x14ac:dyDescent="0.2">
      <c r="A15" s="226">
        <f t="shared" si="0"/>
        <v>12</v>
      </c>
      <c r="B15" s="70">
        <v>2031</v>
      </c>
      <c r="C15" s="35">
        <f>'T8 Crane Reliability'!E17</f>
        <v>471.94494609425772</v>
      </c>
      <c r="D15" s="508">
        <f>((C15*'T3 Inputs'!$B$33)*'T3 Inputs'!$B$29)/907184</f>
        <v>26.531764505113781</v>
      </c>
      <c r="E15" s="508">
        <f>((C15*'T3 Inputs'!$B$33)*'T3 Inputs'!$B$30)/907184</f>
        <v>15.606920297125756</v>
      </c>
      <c r="F15" s="508">
        <f>((C15*'T3 Inputs'!$B$33)*'T3 Inputs'!$B$31)/907184</f>
        <v>1022.2532794617368</v>
      </c>
      <c r="G15" s="505">
        <f>((C15*'T3 Inputs'!$B$33)*'T3 Inputs'!$B$32)/907184</f>
        <v>1.9508650371407195</v>
      </c>
    </row>
    <row r="16" spans="1:7" x14ac:dyDescent="0.2">
      <c r="A16" s="226">
        <f t="shared" si="0"/>
        <v>13</v>
      </c>
      <c r="B16" s="70">
        <v>2032</v>
      </c>
      <c r="C16" s="35">
        <f>'T8 Crane Reliability'!E18</f>
        <v>469.47984501614297</v>
      </c>
      <c r="D16" s="508">
        <f>((C16*'T3 Inputs'!$B$33)*'T3 Inputs'!$B$29)/907184</f>
        <v>26.393181643220441</v>
      </c>
      <c r="E16" s="508">
        <f>((C16*'T3 Inputs'!$B$33)*'T3 Inputs'!$B$30)/907184</f>
        <v>15.525400966600259</v>
      </c>
      <c r="F16" s="508">
        <f>((C16*'T3 Inputs'!$B$33)*'T3 Inputs'!$B$31)/907184</f>
        <v>1016.913763312317</v>
      </c>
      <c r="G16" s="505">
        <f>((C16*'T3 Inputs'!$B$33)*'T3 Inputs'!$B$32)/907184</f>
        <v>1.9406751208250324</v>
      </c>
    </row>
    <row r="17" spans="1:7" x14ac:dyDescent="0.2">
      <c r="A17" s="226">
        <f t="shared" si="0"/>
        <v>14</v>
      </c>
      <c r="B17" s="70">
        <v>2033</v>
      </c>
      <c r="C17" s="35">
        <f>'T8 Crane Reliability'!E19</f>
        <v>467.21344191646585</v>
      </c>
      <c r="D17" s="508">
        <f>((C17*'T3 Inputs'!$B$33)*'T3 Inputs'!$B$29)/907184</f>
        <v>26.265769168922464</v>
      </c>
      <c r="E17" s="508">
        <f>((C17*'T3 Inputs'!$B$33)*'T3 Inputs'!$B$30)/907184</f>
        <v>15.450452452307331</v>
      </c>
      <c r="F17" s="508">
        <f>((C17*'T3 Inputs'!$B$33)*'T3 Inputs'!$B$31)/907184</f>
        <v>1012.0046356261303</v>
      </c>
      <c r="G17" s="505">
        <f>((C17*'T3 Inputs'!$B$33)*'T3 Inputs'!$B$32)/907184</f>
        <v>1.9313065565384164</v>
      </c>
    </row>
    <row r="18" spans="1:7" x14ac:dyDescent="0.2">
      <c r="A18" s="226">
        <f t="shared" si="0"/>
        <v>15</v>
      </c>
      <c r="B18" s="70">
        <v>2034</v>
      </c>
      <c r="C18" s="35">
        <f>'T8 Crane Reliability'!E20</f>
        <v>465.14971075479525</v>
      </c>
      <c r="D18" s="508">
        <f>((C18*'T3 Inputs'!$B$33)*'T3 Inputs'!$B$29)/907184</f>
        <v>26.14975048997178</v>
      </c>
      <c r="E18" s="508">
        <f>((C18*'T3 Inputs'!$B$33)*'T3 Inputs'!$B$30)/907184</f>
        <v>15.382206170571635</v>
      </c>
      <c r="F18" s="508">
        <f>((C18*'T3 Inputs'!$B$33)*'T3 Inputs'!$B$31)/907184</f>
        <v>1007.534504172442</v>
      </c>
      <c r="G18" s="505">
        <f>((C18*'T3 Inputs'!$B$33)*'T3 Inputs'!$B$32)/907184</f>
        <v>1.9227757713214544</v>
      </c>
    </row>
    <row r="19" spans="1:7" x14ac:dyDescent="0.2">
      <c r="A19" s="226">
        <f t="shared" si="0"/>
        <v>16</v>
      </c>
      <c r="B19" s="70">
        <v>2035</v>
      </c>
      <c r="C19" s="35">
        <f>'T8 Crane Reliability'!E21</f>
        <v>463.29270496989113</v>
      </c>
      <c r="D19" s="508">
        <f>((C19*'T3 Inputs'!$B$33)*'T3 Inputs'!$B$29)/907184</f>
        <v>26.045353482275313</v>
      </c>
      <c r="E19" s="508">
        <f>((C19*'T3 Inputs'!$B$33)*'T3 Inputs'!$B$30)/907184</f>
        <v>15.320796166044302</v>
      </c>
      <c r="F19" s="508">
        <f>((C19*'T3 Inputs'!$B$33)*'T3 Inputs'!$B$31)/907184</f>
        <v>1003.5121488759017</v>
      </c>
      <c r="G19" s="505">
        <f>((C19*'T3 Inputs'!$B$33)*'T3 Inputs'!$B$32)/907184</f>
        <v>1.9150995207555377</v>
      </c>
    </row>
    <row r="20" spans="1:7" x14ac:dyDescent="0.2">
      <c r="A20" s="226">
        <f t="shared" si="0"/>
        <v>17</v>
      </c>
      <c r="B20" s="70">
        <v>2036</v>
      </c>
      <c r="C20" s="35">
        <f>'T8 Crane Reliability'!E22</f>
        <v>461.64655906928897</v>
      </c>
      <c r="D20" s="508">
        <f>((C20*'T3 Inputs'!$B$33)*'T3 Inputs'!$B$29)/907184</f>
        <v>25.952810579258166</v>
      </c>
      <c r="E20" s="508">
        <f>((C20*'T3 Inputs'!$B$33)*'T3 Inputs'!$B$30)/907184</f>
        <v>15.266359164269508</v>
      </c>
      <c r="F20" s="508">
        <f>((C20*'T3 Inputs'!$B$33)*'T3 Inputs'!$B$31)/907184</f>
        <v>999.94652525965273</v>
      </c>
      <c r="G20" s="505">
        <f>((C20*'T3 Inputs'!$B$33)*'T3 Inputs'!$B$32)/907184</f>
        <v>1.9082948955336885</v>
      </c>
    </row>
    <row r="21" spans="1:7" x14ac:dyDescent="0.2">
      <c r="A21" s="226">
        <f t="shared" si="0"/>
        <v>18</v>
      </c>
      <c r="B21" s="70">
        <v>2037</v>
      </c>
      <c r="C21" s="35">
        <f>'T8 Crane Reliability'!E23</f>
        <v>460.21549025067475</v>
      </c>
      <c r="D21" s="508">
        <f>((C21*'T3 Inputs'!$B$33)*'T3 Inputs'!$B$29)/907184</f>
        <v>25.872358863013911</v>
      </c>
      <c r="E21" s="508">
        <f>((C21*'T3 Inputs'!$B$33)*'T3 Inputs'!$B$30)/907184</f>
        <v>15.219034625302301</v>
      </c>
      <c r="F21" s="508">
        <f>((C21*'T3 Inputs'!$B$33)*'T3 Inputs'!$B$31)/907184</f>
        <v>996.8467679573007</v>
      </c>
      <c r="G21" s="505">
        <f>((C21*'T3 Inputs'!$B$33)*'T3 Inputs'!$B$32)/907184</f>
        <v>1.9023793281627877</v>
      </c>
    </row>
    <row r="22" spans="1:7" x14ac:dyDescent="0.2">
      <c r="A22" s="226">
        <f t="shared" si="0"/>
        <v>19</v>
      </c>
      <c r="B22" s="70">
        <v>2038</v>
      </c>
      <c r="C22" s="35">
        <f>'T8 Crane Reliability'!E24</f>
        <v>459.00380005568832</v>
      </c>
      <c r="D22" s="508">
        <f>((C22*'T3 Inputs'!$B$33)*'T3 Inputs'!$B$29)/907184</f>
        <v>25.804240157278024</v>
      </c>
      <c r="E22" s="508">
        <f>((C22*'T3 Inputs'!$B$33)*'T3 Inputs'!$B$30)/907184</f>
        <v>15.178964798398836</v>
      </c>
      <c r="F22" s="508">
        <f>((C22*'T3 Inputs'!$B$33)*'T3 Inputs'!$B$31)/907184</f>
        <v>994.22219429512381</v>
      </c>
      <c r="G22" s="505">
        <f>((C22*'T3 Inputs'!$B$33)*'T3 Inputs'!$B$32)/907184</f>
        <v>1.8973705997998545</v>
      </c>
    </row>
    <row r="23" spans="1:7" x14ac:dyDescent="0.2">
      <c r="A23" s="226">
        <f t="shared" si="0"/>
        <v>20</v>
      </c>
      <c r="B23" s="70">
        <v>2039</v>
      </c>
      <c r="C23" s="35">
        <f>'T8 Crane Reliability'!E25</f>
        <v>458.01587605680209</v>
      </c>
      <c r="D23" s="508">
        <f>((C23*'T3 Inputs'!$B$33)*'T3 Inputs'!$B$29)/907184</f>
        <v>25.748701122260648</v>
      </c>
      <c r="E23" s="508">
        <f>((C23*'T3 Inputs'!$B$33)*'T3 Inputs'!$B$30)/907184</f>
        <v>15.146294777800383</v>
      </c>
      <c r="F23" s="508">
        <f>((C23*'T3 Inputs'!$B$33)*'T3 Inputs'!$B$31)/907184</f>
        <v>992.08230794592498</v>
      </c>
      <c r="G23" s="505">
        <f>((C23*'T3 Inputs'!$B$33)*'T3 Inputs'!$B$32)/907184</f>
        <v>1.8932868472250479</v>
      </c>
    </row>
    <row r="24" spans="1:7" x14ac:dyDescent="0.2">
      <c r="A24" s="226">
        <f t="shared" si="0"/>
        <v>21</v>
      </c>
      <c r="B24" s="70">
        <v>2040</v>
      </c>
      <c r="C24" s="35">
        <f>'T8 Crane Reliability'!E26</f>
        <v>457.25619357793812</v>
      </c>
      <c r="D24" s="508">
        <f>((C24*'T3 Inputs'!$B$33)*'T3 Inputs'!$B$29)/907184</f>
        <v>25.705993351376172</v>
      </c>
      <c r="E24" s="508">
        <f>((C24*'T3 Inputs'!$B$33)*'T3 Inputs'!$B$30)/907184</f>
        <v>15.121172559633044</v>
      </c>
      <c r="F24" s="508">
        <f>((C24*'T3 Inputs'!$B$33)*'T3 Inputs'!$B$31)/907184</f>
        <v>990.43680265596436</v>
      </c>
      <c r="G24" s="505">
        <f>((C24*'T3 Inputs'!$B$33)*'T3 Inputs'!$B$32)/907184</f>
        <v>1.8901465699541304</v>
      </c>
    </row>
    <row r="25" spans="1:7" x14ac:dyDescent="0.2">
      <c r="A25" s="226">
        <f t="shared" si="0"/>
        <v>22</v>
      </c>
      <c r="B25" s="70">
        <v>2041</v>
      </c>
      <c r="C25" s="35">
        <f>'T8 Crane Reliability'!E27</f>
        <v>456.72931744949688</v>
      </c>
      <c r="D25" s="508">
        <f>((C25*'T3 Inputs'!$B$33)*'T3 Inputs'!$B$29)/907184</f>
        <v>25.676373469907251</v>
      </c>
      <c r="E25" s="508">
        <f>((C25*'T3 Inputs'!$B$33)*'T3 Inputs'!$B$30)/907184</f>
        <v>15.103749099945444</v>
      </c>
      <c r="F25" s="508">
        <f>((C25*'T3 Inputs'!$B$33)*'T3 Inputs'!$B$31)/907184</f>
        <v>989.29556604642653</v>
      </c>
      <c r="G25" s="505">
        <f>((C25*'T3 Inputs'!$B$33)*'T3 Inputs'!$B$32)/907184</f>
        <v>1.8879686374931806</v>
      </c>
    </row>
    <row r="26" spans="1:7" x14ac:dyDescent="0.2">
      <c r="A26" s="226">
        <f t="shared" si="0"/>
        <v>23</v>
      </c>
      <c r="B26" s="70">
        <v>2042</v>
      </c>
      <c r="C26" s="35">
        <f>'T8 Crane Reliability'!E28</f>
        <v>456.4399037984868</v>
      </c>
      <c r="D26" s="508">
        <f>((C26*'T3 Inputs'!$B$33)*'T3 Inputs'!$B$29)/907184</f>
        <v>25.660103235642193</v>
      </c>
      <c r="E26" s="508">
        <f>((C26*'T3 Inputs'!$B$33)*'T3 Inputs'!$B$30)/907184</f>
        <v>15.094178373907171</v>
      </c>
      <c r="F26" s="508">
        <f>((C26*'T3 Inputs'!$B$33)*'T3 Inputs'!$B$31)/907184</f>
        <v>988.66868349091976</v>
      </c>
      <c r="G26" s="505">
        <f>((C26*'T3 Inputs'!$B$33)*'T3 Inputs'!$B$32)/907184</f>
        <v>1.8867722967383964</v>
      </c>
    </row>
    <row r="27" spans="1:7" x14ac:dyDescent="0.2">
      <c r="A27" s="226">
        <f t="shared" si="0"/>
        <v>24</v>
      </c>
      <c r="B27" s="70">
        <v>2043</v>
      </c>
      <c r="C27" s="35">
        <f>'T8 Crane Reliability'!E29</f>
        <v>456.39270187445652</v>
      </c>
      <c r="D27" s="508">
        <f>((C27*'T3 Inputs'!$B$33)*'T3 Inputs'!$B$29)/907184</f>
        <v>25.657449641525073</v>
      </c>
      <c r="E27" s="508">
        <f>((C27*'T3 Inputs'!$B$33)*'T3 Inputs'!$B$30)/907184</f>
        <v>15.092617436191221</v>
      </c>
      <c r="F27" s="508">
        <f>((C27*'T3 Inputs'!$B$33)*'T3 Inputs'!$B$31)/907184</f>
        <v>988.56644207052489</v>
      </c>
      <c r="G27" s="505">
        <f>((C27*'T3 Inputs'!$B$33)*'T3 Inputs'!$B$32)/907184</f>
        <v>1.8865771795239026</v>
      </c>
    </row>
    <row r="28" spans="1:7" x14ac:dyDescent="0.2">
      <c r="A28" s="226">
        <f t="shared" si="0"/>
        <v>25</v>
      </c>
      <c r="B28" s="70">
        <v>2044</v>
      </c>
      <c r="C28" s="35">
        <f>'T8 Crane Reliability'!E30</f>
        <v>456.59255591194568</v>
      </c>
      <c r="D28" s="508">
        <f>((C28*'T3 Inputs'!$B$33)*'T3 Inputs'!$B$29)/907184</f>
        <v>25.668685020358858</v>
      </c>
      <c r="E28" s="508">
        <f>((C28*'T3 Inputs'!$B$33)*'T3 Inputs'!$B$30)/907184</f>
        <v>15.099226482564033</v>
      </c>
      <c r="F28" s="508">
        <f>((C28*'T3 Inputs'!$B$33)*'T3 Inputs'!$B$31)/907184</f>
        <v>988.99933460794409</v>
      </c>
      <c r="G28" s="505">
        <f>((C28*'T3 Inputs'!$B$33)*'T3 Inputs'!$B$32)/907184</f>
        <v>1.8874033103205041</v>
      </c>
    </row>
    <row r="29" spans="1:7" x14ac:dyDescent="0.2">
      <c r="A29" s="226">
        <f t="shared" si="0"/>
        <v>26</v>
      </c>
      <c r="B29" s="70">
        <v>2045</v>
      </c>
      <c r="C29" s="35">
        <f>'T8 Crane Reliability'!E31</f>
        <v>457.04440703018457</v>
      </c>
      <c r="D29" s="508">
        <f>((C29*'T3 Inputs'!$B$33)*'T3 Inputs'!$B$29)/907184</f>
        <v>25.69408715160256</v>
      </c>
      <c r="E29" s="508">
        <f>((C29*'T3 Inputs'!$B$33)*'T3 Inputs'!$B$30)/907184</f>
        <v>15.114168912707386</v>
      </c>
      <c r="F29" s="508">
        <f>((C29*'T3 Inputs'!$B$33)*'T3 Inputs'!$B$31)/907184</f>
        <v>989.97806378233383</v>
      </c>
      <c r="G29" s="505">
        <f>((C29*'T3 Inputs'!$B$33)*'T3 Inputs'!$B$32)/907184</f>
        <v>1.8892711140884233</v>
      </c>
    </row>
    <row r="30" spans="1:7" x14ac:dyDescent="0.2">
      <c r="A30" s="226">
        <f t="shared" si="0"/>
        <v>27</v>
      </c>
      <c r="B30" s="70">
        <v>2046</v>
      </c>
      <c r="C30" s="35">
        <f>'T8 Crane Reliability'!E32</f>
        <v>457.75329517078831</v>
      </c>
      <c r="D30" s="508">
        <f>((C30*'T3 Inputs'!$B$33)*'T3 Inputs'!$B$29)/907184</f>
        <v>25.733939370304377</v>
      </c>
      <c r="E30" s="508">
        <f>((C30*'T3 Inputs'!$B$33)*'T3 Inputs'!$B$30)/907184</f>
        <v>15.137611394296693</v>
      </c>
      <c r="F30" s="508">
        <f>((C30*'T3 Inputs'!$B$33)*'T3 Inputs'!$B$31)/907184</f>
        <v>991.51354632643336</v>
      </c>
      <c r="G30" s="505">
        <f>((C30*'T3 Inputs'!$B$33)*'T3 Inputs'!$B$32)/907184</f>
        <v>1.8922014242870866</v>
      </c>
    </row>
    <row r="31" spans="1:7" x14ac:dyDescent="0.2">
      <c r="A31" s="226">
        <f t="shared" si="0"/>
        <v>28</v>
      </c>
      <c r="B31" s="70">
        <v>2047</v>
      </c>
      <c r="C31" s="35">
        <f>'T8 Crane Reliability'!E33</f>
        <v>458.72436107420401</v>
      </c>
      <c r="D31" s="508">
        <f>((C31*'T3 Inputs'!$B$33)*'T3 Inputs'!$B$29)/907184</f>
        <v>25.788530678213466</v>
      </c>
      <c r="E31" s="508">
        <f>((C31*'T3 Inputs'!$B$33)*'T3 Inputs'!$B$30)/907184</f>
        <v>15.169723928360861</v>
      </c>
      <c r="F31" s="508">
        <f>((C31*'T3 Inputs'!$B$33)*'T3 Inputs'!$B$31)/907184</f>
        <v>993.61691730763641</v>
      </c>
      <c r="G31" s="505">
        <f>((C31*'T3 Inputs'!$B$33)*'T3 Inputs'!$B$32)/907184</f>
        <v>1.8962154910451077</v>
      </c>
    </row>
    <row r="32" spans="1:7" x14ac:dyDescent="0.2">
      <c r="A32" s="226">
        <f t="shared" si="0"/>
        <v>29</v>
      </c>
      <c r="B32" s="70">
        <v>2048</v>
      </c>
      <c r="C32" s="35">
        <f>'T8 Crane Reliability'!E34</f>
        <v>459.96284829568816</v>
      </c>
      <c r="D32" s="508">
        <f>((C32*'T3 Inputs'!$B$33)*'T3 Inputs'!$B$29)/907184</f>
        <v>25.858155857113989</v>
      </c>
      <c r="E32" s="508">
        <f>((C32*'T3 Inputs'!$B$33)*'T3 Inputs'!$B$30)/907184</f>
        <v>15.210679915949404</v>
      </c>
      <c r="F32" s="508">
        <f>((C32*'T3 Inputs'!$B$33)*'T3 Inputs'!$B$31)/907184</f>
        <v>996.29953449468599</v>
      </c>
      <c r="G32" s="505">
        <f>((C32*'T3 Inputs'!$B$33)*'T3 Inputs'!$B$32)/907184</f>
        <v>1.9013349894936755</v>
      </c>
    </row>
    <row r="33" spans="1:7" x14ac:dyDescent="0.2">
      <c r="A33" s="226">
        <f t="shared" si="0"/>
        <v>30</v>
      </c>
      <c r="B33" s="70">
        <v>2049</v>
      </c>
      <c r="C33" s="35">
        <f>'T8 Crane Reliability'!E35</f>
        <v>461.47410526160195</v>
      </c>
      <c r="D33" s="508">
        <f>((C33*'T3 Inputs'!$B$33)*'T3 Inputs'!$B$29)/907184</f>
        <v>25.943115584425762</v>
      </c>
      <c r="E33" s="508">
        <f>((C33*'T3 Inputs'!$B$33)*'T3 Inputs'!$B$30)/907184</f>
        <v>15.260656226132802</v>
      </c>
      <c r="F33" s="508">
        <f>((C33*'T3 Inputs'!$B$33)*'T3 Inputs'!$B$31)/907184</f>
        <v>999.57298281169847</v>
      </c>
      <c r="G33" s="505">
        <f>((C33*'T3 Inputs'!$B$33)*'T3 Inputs'!$B$32)/907184</f>
        <v>1.9075820282666003</v>
      </c>
    </row>
    <row r="34" spans="1:7" ht="13.5" thickBot="1" x14ac:dyDescent="0.25">
      <c r="A34" s="593" t="s">
        <v>0</v>
      </c>
      <c r="B34" s="594"/>
      <c r="C34" s="506">
        <f>SUM(C3:C33)</f>
        <v>13603.499368341687</v>
      </c>
      <c r="D34" s="506">
        <f>SUM(D3:D33)</f>
        <v>764.76047613871697</v>
      </c>
      <c r="E34" s="506">
        <f>SUM(E3:E33)</f>
        <v>449.85910361101014</v>
      </c>
      <c r="F34" s="506">
        <f>SUM(F3:F33)</f>
        <v>29465.771286521165</v>
      </c>
      <c r="G34" s="507">
        <f>SUM(G3:G33)</f>
        <v>56.232387951376268</v>
      </c>
    </row>
  </sheetData>
  <mergeCells count="1">
    <mergeCell ref="A34:B34"/>
  </mergeCells>
  <pageMargins left="0.5" right="0.5"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Normal="100" workbookViewId="0"/>
  </sheetViews>
  <sheetFormatPr defaultRowHeight="12.75" x14ac:dyDescent="0.2"/>
  <cols>
    <col min="1" max="2" width="9.140625" style="234"/>
    <col min="3" max="3" width="12.7109375" style="1" customWidth="1"/>
    <col min="4" max="7" width="12.7109375" style="1" hidden="1" customWidth="1"/>
    <col min="8" max="8" width="12.7109375" style="1" customWidth="1"/>
    <col min="9" max="12" width="12.7109375" style="1" hidden="1" customWidth="1"/>
    <col min="13" max="16" width="12.7109375" style="1" customWidth="1"/>
    <col min="17" max="16384" width="9.140625" style="1"/>
  </cols>
  <sheetData>
    <row r="1" spans="1:16" s="263" customFormat="1" ht="38.25" x14ac:dyDescent="0.2">
      <c r="A1" s="218" t="s">
        <v>130</v>
      </c>
      <c r="B1" s="181" t="s">
        <v>2</v>
      </c>
      <c r="C1" s="185" t="s">
        <v>164</v>
      </c>
      <c r="D1" s="163" t="s">
        <v>360</v>
      </c>
      <c r="E1" s="163" t="s">
        <v>361</v>
      </c>
      <c r="F1" s="163" t="s">
        <v>362</v>
      </c>
      <c r="G1" s="164" t="s">
        <v>363</v>
      </c>
      <c r="H1" s="185" t="s">
        <v>279</v>
      </c>
      <c r="I1" s="163" t="s">
        <v>364</v>
      </c>
      <c r="J1" s="163" t="s">
        <v>365</v>
      </c>
      <c r="K1" s="163" t="s">
        <v>366</v>
      </c>
      <c r="L1" s="164" t="s">
        <v>367</v>
      </c>
      <c r="M1" s="184" t="s">
        <v>368</v>
      </c>
      <c r="N1" s="163" t="s">
        <v>369</v>
      </c>
      <c r="O1" s="163" t="s">
        <v>370</v>
      </c>
      <c r="P1" s="164" t="s">
        <v>371</v>
      </c>
    </row>
    <row r="2" spans="1:16" x14ac:dyDescent="0.2">
      <c r="A2" s="226">
        <v>-1</v>
      </c>
      <c r="B2" s="182">
        <v>2018</v>
      </c>
      <c r="C2" s="515">
        <f>'T5 Avoided Truck Miles'!F3</f>
        <v>256598.27336831219</v>
      </c>
      <c r="D2" s="46">
        <f>(C2*'T3 Inputs'!$B$19)/907185</f>
        <v>2.5996844420136549</v>
      </c>
      <c r="E2" s="46">
        <f>(C2*'T3 Inputs'!$B$16)/907185</f>
        <v>0.12869724960463638</v>
      </c>
      <c r="F2" s="46">
        <f>(C2*'T3 Inputs'!$B$18)/907185</f>
        <v>0.67742837978704207</v>
      </c>
      <c r="G2" s="212">
        <f>(C2*'T3 Inputs'!$B$20)/907185</f>
        <v>6.0812986076916084E-2</v>
      </c>
      <c r="H2" s="515">
        <f>'T5 Avoided Truck Miles'!G3</f>
        <v>256598.27336831219</v>
      </c>
      <c r="I2" s="46">
        <f>D2</f>
        <v>2.5996844420136549</v>
      </c>
      <c r="J2" s="46">
        <f t="shared" ref="J2:L3" si="0">E2</f>
        <v>0.12869724960463638</v>
      </c>
      <c r="K2" s="46">
        <f t="shared" si="0"/>
        <v>0.67742837978704207</v>
      </c>
      <c r="L2" s="212">
        <f t="shared" si="0"/>
        <v>6.0812986076916084E-2</v>
      </c>
      <c r="M2" s="509">
        <f>D2-I2</f>
        <v>0</v>
      </c>
      <c r="N2" s="46">
        <f>E2-J2</f>
        <v>0</v>
      </c>
      <c r="O2" s="46">
        <f>F2-K2</f>
        <v>0</v>
      </c>
      <c r="P2" s="212">
        <f>G2-L2</f>
        <v>0</v>
      </c>
    </row>
    <row r="3" spans="1:16" x14ac:dyDescent="0.2">
      <c r="A3" s="226">
        <f>A2+1</f>
        <v>0</v>
      </c>
      <c r="B3" s="183">
        <v>2019</v>
      </c>
      <c r="C3" s="515">
        <f>'T5 Avoided Truck Miles'!F4</f>
        <v>279005.00588571141</v>
      </c>
      <c r="D3" s="46">
        <f>(C3*'T3 Inputs'!$B$19)/907185</f>
        <v>2.8266946753920905</v>
      </c>
      <c r="E3" s="46">
        <f>(C3*'T3 Inputs'!$B$16)/907185</f>
        <v>0.13993537996990546</v>
      </c>
      <c r="F3" s="46">
        <f>(C3*'T3 Inputs'!$B$18)/907185</f>
        <v>0.73658293412730458</v>
      </c>
      <c r="G3" s="212">
        <f>(C3*'T3 Inputs'!$B$20)/907185</f>
        <v>6.6123311414350933E-2</v>
      </c>
      <c r="H3" s="515">
        <f>'T5 Avoided Truck Miles'!G4</f>
        <v>279005.00588571141</v>
      </c>
      <c r="I3" s="46">
        <f>D3</f>
        <v>2.8266946753920905</v>
      </c>
      <c r="J3" s="46">
        <f t="shared" si="0"/>
        <v>0.13993537996990546</v>
      </c>
      <c r="K3" s="46">
        <f t="shared" si="0"/>
        <v>0.73658293412730458</v>
      </c>
      <c r="L3" s="212">
        <f t="shared" si="0"/>
        <v>6.6123311414350933E-2</v>
      </c>
      <c r="M3" s="509">
        <f t="shared" ref="M3:M33" si="1">D3-I3</f>
        <v>0</v>
      </c>
      <c r="N3" s="46">
        <f t="shared" ref="N3:N33" si="2">E3-J3</f>
        <v>0</v>
      </c>
      <c r="O3" s="46">
        <f t="shared" ref="O3:O33" si="3">F3-K3</f>
        <v>0</v>
      </c>
      <c r="P3" s="212">
        <f t="shared" ref="P3:P33" si="4">G3-L3</f>
        <v>0</v>
      </c>
    </row>
    <row r="4" spans="1:16" x14ac:dyDescent="0.2">
      <c r="A4" s="226">
        <f t="shared" ref="A4:A33" si="5">A3+1</f>
        <v>1</v>
      </c>
      <c r="B4" s="183">
        <v>2020</v>
      </c>
      <c r="C4" s="515">
        <f>'T5 Avoided Truck Miles'!F5</f>
        <v>303368.34417257196</v>
      </c>
      <c r="D4" s="46">
        <f>(C4*'T3 Inputs'!$B$19)/907185</f>
        <v>3.0735279477616024</v>
      </c>
      <c r="E4" s="46">
        <f>(C4*'T3 Inputs'!$B$16)/907185</f>
        <v>0.1521548488990892</v>
      </c>
      <c r="F4" s="46">
        <f>(C4*'T3 Inputs'!$B$18)/907185</f>
        <v>0.8009029958534476</v>
      </c>
      <c r="G4" s="212">
        <f>(C4*'T3 Inputs'!$B$20)/907185</f>
        <v>7.1897346183086103E-2</v>
      </c>
      <c r="H4" s="515">
        <f>'T5 Avoided Truck Miles'!G5</f>
        <v>99707.062451385325</v>
      </c>
      <c r="I4" s="46">
        <f>(H4*'T3 Inputs'!$B$24)/907185</f>
        <v>1.207891021501375</v>
      </c>
      <c r="J4" s="46">
        <f>(H4*'T3 Inputs'!$B$21)/907185</f>
        <v>5.9899964214581373E-2</v>
      </c>
      <c r="K4" s="46">
        <f>(H4*'T3 Inputs'!$B$23)/907185</f>
        <v>0.34170456650116238</v>
      </c>
      <c r="L4" s="212">
        <f>(H4*'T3 Inputs'!$B$25)/907185</f>
        <v>2.6158149510220857E-2</v>
      </c>
      <c r="M4" s="509">
        <f t="shared" si="1"/>
        <v>1.8656369262602275</v>
      </c>
      <c r="N4" s="46">
        <f t="shared" si="2"/>
        <v>9.2254884684507821E-2</v>
      </c>
      <c r="O4" s="46">
        <f t="shared" si="3"/>
        <v>0.45919842935228522</v>
      </c>
      <c r="P4" s="212">
        <f t="shared" si="4"/>
        <v>4.5739196672865245E-2</v>
      </c>
    </row>
    <row r="5" spans="1:16" x14ac:dyDescent="0.2">
      <c r="A5" s="226">
        <f t="shared" si="5"/>
        <v>2</v>
      </c>
      <c r="B5" s="183">
        <v>2021</v>
      </c>
      <c r="C5" s="186">
        <f>'T5 Avoided Truck Miles'!F6</f>
        <v>329859.1434008436</v>
      </c>
      <c r="D5" s="229">
        <f>(C5*'T3 Inputs'!$B$19)/907185</f>
        <v>3.3419152510206342</v>
      </c>
      <c r="E5" s="229">
        <f>(C5*'T3 Inputs'!$B$16)/907185</f>
        <v>0.1654413490604274</v>
      </c>
      <c r="F5" s="229">
        <f>(C5*'T3 Inputs'!$B$18)/907185</f>
        <v>0.8708396285708212</v>
      </c>
      <c r="G5" s="510">
        <f>(C5*'T3 Inputs'!$B$20)/907185</f>
        <v>7.8175582523059103E-2</v>
      </c>
      <c r="H5" s="186">
        <f>'T5 Avoided Truck Miles'!G6</f>
        <v>108413.70513107725</v>
      </c>
      <c r="I5" s="229">
        <f>(H5*'T3 Inputs'!$B$24)/907185</f>
        <v>1.3133667547308863</v>
      </c>
      <c r="J5" s="229">
        <f>(H5*'T3 Inputs'!$B$21)/907185</f>
        <v>6.5130562450257778E-2</v>
      </c>
      <c r="K5" s="229">
        <f>(H5*'T3 Inputs'!$B$23)/907185</f>
        <v>0.37154297001440628</v>
      </c>
      <c r="L5" s="510">
        <f>(H5*'T3 Inputs'!$B$25)/907185</f>
        <v>2.8442337363598809E-2</v>
      </c>
      <c r="M5" s="511">
        <f t="shared" si="1"/>
        <v>2.0285484962897478</v>
      </c>
      <c r="N5" s="229">
        <f t="shared" si="2"/>
        <v>0.10031078661016962</v>
      </c>
      <c r="O5" s="229">
        <f t="shared" si="3"/>
        <v>0.49929665855641492</v>
      </c>
      <c r="P5" s="510">
        <f t="shared" si="4"/>
        <v>4.9733245159460295E-2</v>
      </c>
    </row>
    <row r="6" spans="1:16" x14ac:dyDescent="0.2">
      <c r="A6" s="226">
        <f t="shared" si="5"/>
        <v>3</v>
      </c>
      <c r="B6" s="183">
        <v>2022</v>
      </c>
      <c r="C6" s="186">
        <f>'T5 Avoided Truck Miles'!F7</f>
        <v>329859.1434008436</v>
      </c>
      <c r="D6" s="229">
        <f>(C6*'T3 Inputs'!$B$19)/907185</f>
        <v>3.3419152510206342</v>
      </c>
      <c r="E6" s="229">
        <f>(C6*'T3 Inputs'!$B$16)/907185</f>
        <v>0.1654413490604274</v>
      </c>
      <c r="F6" s="229">
        <f>(C6*'T3 Inputs'!$B$18)/907185</f>
        <v>0.8708396285708212</v>
      </c>
      <c r="G6" s="510">
        <f>(C6*'T3 Inputs'!$B$20)/907185</f>
        <v>7.8175582523059103E-2</v>
      </c>
      <c r="H6" s="186">
        <f>'T5 Avoided Truck Miles'!G7</f>
        <v>108413.70513107725</v>
      </c>
      <c r="I6" s="229">
        <f>(H6*'T3 Inputs'!$B$24)/907185</f>
        <v>1.3133667547308863</v>
      </c>
      <c r="J6" s="229">
        <f>(H6*'T3 Inputs'!$B$21)/907185</f>
        <v>6.5130562450257778E-2</v>
      </c>
      <c r="K6" s="229">
        <f>(H6*'T3 Inputs'!$B$23)/907185</f>
        <v>0.37154297001440628</v>
      </c>
      <c r="L6" s="510">
        <f>(H6*'T3 Inputs'!$B$25)/907185</f>
        <v>2.8442337363598809E-2</v>
      </c>
      <c r="M6" s="511">
        <f t="shared" si="1"/>
        <v>2.0285484962897478</v>
      </c>
      <c r="N6" s="229">
        <f t="shared" si="2"/>
        <v>0.10031078661016962</v>
      </c>
      <c r="O6" s="229">
        <f t="shared" si="3"/>
        <v>0.49929665855641492</v>
      </c>
      <c r="P6" s="510">
        <f t="shared" si="4"/>
        <v>4.9733245159460295E-2</v>
      </c>
    </row>
    <row r="7" spans="1:16" x14ac:dyDescent="0.2">
      <c r="A7" s="226">
        <f t="shared" si="5"/>
        <v>4</v>
      </c>
      <c r="B7" s="183">
        <v>2023</v>
      </c>
      <c r="C7" s="186">
        <f>'T5 Avoided Truck Miles'!F8</f>
        <v>329859.1434008436</v>
      </c>
      <c r="D7" s="229">
        <f>(C7*'T3 Inputs'!$B$19)/907185</f>
        <v>3.3419152510206342</v>
      </c>
      <c r="E7" s="229">
        <f>(C7*'T3 Inputs'!$B$16)/907185</f>
        <v>0.1654413490604274</v>
      </c>
      <c r="F7" s="229">
        <f>(C7*'T3 Inputs'!$B$18)/907185</f>
        <v>0.8708396285708212</v>
      </c>
      <c r="G7" s="510">
        <f>(C7*'T3 Inputs'!$B$20)/907185</f>
        <v>7.8175582523059103E-2</v>
      </c>
      <c r="H7" s="186">
        <f>'T5 Avoided Truck Miles'!G8</f>
        <v>108413.70513107725</v>
      </c>
      <c r="I7" s="229">
        <f>(H7*'T3 Inputs'!$B$24)/907185</f>
        <v>1.3133667547308863</v>
      </c>
      <c r="J7" s="229">
        <f>(H7*'T3 Inputs'!$B$21)/907185</f>
        <v>6.5130562450257778E-2</v>
      </c>
      <c r="K7" s="229">
        <f>(H7*'T3 Inputs'!$B$23)/907185</f>
        <v>0.37154297001440628</v>
      </c>
      <c r="L7" s="510">
        <f>(H7*'T3 Inputs'!$B$25)/907185</f>
        <v>2.8442337363598809E-2</v>
      </c>
      <c r="M7" s="511">
        <f t="shared" si="1"/>
        <v>2.0285484962897478</v>
      </c>
      <c r="N7" s="229">
        <f t="shared" si="2"/>
        <v>0.10031078661016962</v>
      </c>
      <c r="O7" s="229">
        <f t="shared" si="3"/>
        <v>0.49929665855641492</v>
      </c>
      <c r="P7" s="510">
        <f t="shared" si="4"/>
        <v>4.9733245159460295E-2</v>
      </c>
    </row>
    <row r="8" spans="1:16" x14ac:dyDescent="0.2">
      <c r="A8" s="226">
        <f t="shared" si="5"/>
        <v>5</v>
      </c>
      <c r="B8" s="183">
        <v>2024</v>
      </c>
      <c r="C8" s="186">
        <f>'T5 Avoided Truck Miles'!F9</f>
        <v>329859.1434008436</v>
      </c>
      <c r="D8" s="229">
        <f>(C8*'T3 Inputs'!$B$19)/907185</f>
        <v>3.3419152510206342</v>
      </c>
      <c r="E8" s="229">
        <f>(C8*'T3 Inputs'!$B$16)/907185</f>
        <v>0.1654413490604274</v>
      </c>
      <c r="F8" s="229">
        <f>(C8*'T3 Inputs'!$B$18)/907185</f>
        <v>0.8708396285708212</v>
      </c>
      <c r="G8" s="510">
        <f>(C8*'T3 Inputs'!$B$20)/907185</f>
        <v>7.8175582523059103E-2</v>
      </c>
      <c r="H8" s="186">
        <f>'T5 Avoided Truck Miles'!G9</f>
        <v>108413.70513107725</v>
      </c>
      <c r="I8" s="229">
        <f>(H8*'T3 Inputs'!$B$24)/907185</f>
        <v>1.3133667547308863</v>
      </c>
      <c r="J8" s="229">
        <f>(H8*'T3 Inputs'!$B$21)/907185</f>
        <v>6.5130562450257778E-2</v>
      </c>
      <c r="K8" s="229">
        <f>(H8*'T3 Inputs'!$B$23)/907185</f>
        <v>0.37154297001440628</v>
      </c>
      <c r="L8" s="510">
        <f>(H8*'T3 Inputs'!$B$25)/907185</f>
        <v>2.8442337363598809E-2</v>
      </c>
      <c r="M8" s="511">
        <f t="shared" si="1"/>
        <v>2.0285484962897478</v>
      </c>
      <c r="N8" s="229">
        <f t="shared" si="2"/>
        <v>0.10031078661016962</v>
      </c>
      <c r="O8" s="229">
        <f t="shared" si="3"/>
        <v>0.49929665855641492</v>
      </c>
      <c r="P8" s="510">
        <f t="shared" si="4"/>
        <v>4.9733245159460295E-2</v>
      </c>
    </row>
    <row r="9" spans="1:16" x14ac:dyDescent="0.2">
      <c r="A9" s="226">
        <f t="shared" si="5"/>
        <v>6</v>
      </c>
      <c r="B9" s="183">
        <v>2025</v>
      </c>
      <c r="C9" s="186">
        <f>'T5 Avoided Truck Miles'!F10</f>
        <v>329859.1434008436</v>
      </c>
      <c r="D9" s="229">
        <f>(C9*'T3 Inputs'!$B$19)/907185</f>
        <v>3.3419152510206342</v>
      </c>
      <c r="E9" s="229">
        <f>(C9*'T3 Inputs'!$B$16)/907185</f>
        <v>0.1654413490604274</v>
      </c>
      <c r="F9" s="229">
        <f>(C9*'T3 Inputs'!$B$18)/907185</f>
        <v>0.8708396285708212</v>
      </c>
      <c r="G9" s="510">
        <f>(C9*'T3 Inputs'!$B$20)/907185</f>
        <v>7.8175582523059103E-2</v>
      </c>
      <c r="H9" s="186">
        <f>'T5 Avoided Truck Miles'!G10</f>
        <v>108413.70513107725</v>
      </c>
      <c r="I9" s="229">
        <f>(H9*'T3 Inputs'!$B$24)/907185</f>
        <v>1.3133667547308863</v>
      </c>
      <c r="J9" s="229">
        <f>(H9*'T3 Inputs'!$B$21)/907185</f>
        <v>6.5130562450257778E-2</v>
      </c>
      <c r="K9" s="229">
        <f>(H9*'T3 Inputs'!$B$23)/907185</f>
        <v>0.37154297001440628</v>
      </c>
      <c r="L9" s="510">
        <f>(H9*'T3 Inputs'!$B$25)/907185</f>
        <v>2.8442337363598809E-2</v>
      </c>
      <c r="M9" s="511">
        <f t="shared" si="1"/>
        <v>2.0285484962897478</v>
      </c>
      <c r="N9" s="229">
        <f t="shared" si="2"/>
        <v>0.10031078661016962</v>
      </c>
      <c r="O9" s="229">
        <f t="shared" si="3"/>
        <v>0.49929665855641492</v>
      </c>
      <c r="P9" s="510">
        <f t="shared" si="4"/>
        <v>4.9733245159460295E-2</v>
      </c>
    </row>
    <row r="10" spans="1:16" x14ac:dyDescent="0.2">
      <c r="A10" s="226">
        <f t="shared" si="5"/>
        <v>7</v>
      </c>
      <c r="B10" s="183">
        <v>2026</v>
      </c>
      <c r="C10" s="186">
        <f>'T5 Avoided Truck Miles'!F11</f>
        <v>329859.1434008436</v>
      </c>
      <c r="D10" s="229">
        <f>(C10*'T3 Inputs'!$B$19)/907185</f>
        <v>3.3419152510206342</v>
      </c>
      <c r="E10" s="229">
        <f>(C10*'T3 Inputs'!$B$16)/907185</f>
        <v>0.1654413490604274</v>
      </c>
      <c r="F10" s="229">
        <f>(C10*'T3 Inputs'!$B$18)/907185</f>
        <v>0.8708396285708212</v>
      </c>
      <c r="G10" s="510">
        <f>(C10*'T3 Inputs'!$B$20)/907185</f>
        <v>7.8175582523059103E-2</v>
      </c>
      <c r="H10" s="186">
        <f>'T5 Avoided Truck Miles'!G11</f>
        <v>108413.70513107725</v>
      </c>
      <c r="I10" s="229">
        <f>(H10*'T3 Inputs'!$B$24)/907185</f>
        <v>1.3133667547308863</v>
      </c>
      <c r="J10" s="229">
        <f>(H10*'T3 Inputs'!$B$21)/907185</f>
        <v>6.5130562450257778E-2</v>
      </c>
      <c r="K10" s="229">
        <f>(H10*'T3 Inputs'!$B$23)/907185</f>
        <v>0.37154297001440628</v>
      </c>
      <c r="L10" s="510">
        <f>(H10*'T3 Inputs'!$B$25)/907185</f>
        <v>2.8442337363598809E-2</v>
      </c>
      <c r="M10" s="511">
        <f t="shared" si="1"/>
        <v>2.0285484962897478</v>
      </c>
      <c r="N10" s="229">
        <f t="shared" si="2"/>
        <v>0.10031078661016962</v>
      </c>
      <c r="O10" s="229">
        <f t="shared" si="3"/>
        <v>0.49929665855641492</v>
      </c>
      <c r="P10" s="510">
        <f t="shared" si="4"/>
        <v>4.9733245159460295E-2</v>
      </c>
    </row>
    <row r="11" spans="1:16" x14ac:dyDescent="0.2">
      <c r="A11" s="226">
        <f t="shared" si="5"/>
        <v>8</v>
      </c>
      <c r="B11" s="183">
        <v>2027</v>
      </c>
      <c r="C11" s="186">
        <f>'T5 Avoided Truck Miles'!F12</f>
        <v>329859.1434008436</v>
      </c>
      <c r="D11" s="229">
        <f>(C11*'T3 Inputs'!$B$19)/907185</f>
        <v>3.3419152510206342</v>
      </c>
      <c r="E11" s="229">
        <f>(C11*'T3 Inputs'!$B$16)/907185</f>
        <v>0.1654413490604274</v>
      </c>
      <c r="F11" s="229">
        <f>(C11*'T3 Inputs'!$B$18)/907185</f>
        <v>0.8708396285708212</v>
      </c>
      <c r="G11" s="510">
        <f>(C11*'T3 Inputs'!$B$20)/907185</f>
        <v>7.8175582523059103E-2</v>
      </c>
      <c r="H11" s="186">
        <f>'T5 Avoided Truck Miles'!G12</f>
        <v>108413.70513107725</v>
      </c>
      <c r="I11" s="229">
        <f>(H11*'T3 Inputs'!$B$24)/907185</f>
        <v>1.3133667547308863</v>
      </c>
      <c r="J11" s="229">
        <f>(H11*'T3 Inputs'!$B$21)/907185</f>
        <v>6.5130562450257778E-2</v>
      </c>
      <c r="K11" s="229">
        <f>(H11*'T3 Inputs'!$B$23)/907185</f>
        <v>0.37154297001440628</v>
      </c>
      <c r="L11" s="510">
        <f>(H11*'T3 Inputs'!$B$25)/907185</f>
        <v>2.8442337363598809E-2</v>
      </c>
      <c r="M11" s="511">
        <f t="shared" si="1"/>
        <v>2.0285484962897478</v>
      </c>
      <c r="N11" s="229">
        <f t="shared" si="2"/>
        <v>0.10031078661016962</v>
      </c>
      <c r="O11" s="229">
        <f t="shared" si="3"/>
        <v>0.49929665855641492</v>
      </c>
      <c r="P11" s="510">
        <f t="shared" si="4"/>
        <v>4.9733245159460295E-2</v>
      </c>
    </row>
    <row r="12" spans="1:16" x14ac:dyDescent="0.2">
      <c r="A12" s="226">
        <f t="shared" si="5"/>
        <v>9</v>
      </c>
      <c r="B12" s="183">
        <v>2028</v>
      </c>
      <c r="C12" s="186">
        <f>'T5 Avoided Truck Miles'!F13</f>
        <v>329859.1434008436</v>
      </c>
      <c r="D12" s="229">
        <f>(C12*'T3 Inputs'!$B$19)/907185</f>
        <v>3.3419152510206342</v>
      </c>
      <c r="E12" s="229">
        <f>(C12*'T3 Inputs'!$B$16)/907185</f>
        <v>0.1654413490604274</v>
      </c>
      <c r="F12" s="229">
        <f>(C12*'T3 Inputs'!$B$18)/907185</f>
        <v>0.8708396285708212</v>
      </c>
      <c r="G12" s="510">
        <f>(C12*'T3 Inputs'!$B$20)/907185</f>
        <v>7.8175582523059103E-2</v>
      </c>
      <c r="H12" s="186">
        <f>'T5 Avoided Truck Miles'!G13</f>
        <v>108413.70513107725</v>
      </c>
      <c r="I12" s="229">
        <f>(H12*'T3 Inputs'!$B$24)/907185</f>
        <v>1.3133667547308863</v>
      </c>
      <c r="J12" s="229">
        <f>(H12*'T3 Inputs'!$B$21)/907185</f>
        <v>6.5130562450257778E-2</v>
      </c>
      <c r="K12" s="229">
        <f>(H12*'T3 Inputs'!$B$23)/907185</f>
        <v>0.37154297001440628</v>
      </c>
      <c r="L12" s="510">
        <f>(H12*'T3 Inputs'!$B$25)/907185</f>
        <v>2.8442337363598809E-2</v>
      </c>
      <c r="M12" s="511">
        <f t="shared" si="1"/>
        <v>2.0285484962897478</v>
      </c>
      <c r="N12" s="229">
        <f t="shared" si="2"/>
        <v>0.10031078661016962</v>
      </c>
      <c r="O12" s="229">
        <f t="shared" si="3"/>
        <v>0.49929665855641492</v>
      </c>
      <c r="P12" s="510">
        <f t="shared" si="4"/>
        <v>4.9733245159460295E-2</v>
      </c>
    </row>
    <row r="13" spans="1:16" x14ac:dyDescent="0.2">
      <c r="A13" s="226">
        <f t="shared" si="5"/>
        <v>10</v>
      </c>
      <c r="B13" s="183">
        <v>2029</v>
      </c>
      <c r="C13" s="186">
        <f>'T5 Avoided Truck Miles'!F14</f>
        <v>329859.1434008436</v>
      </c>
      <c r="D13" s="229">
        <f>(C13*'T3 Inputs'!$B$19)/907185</f>
        <v>3.3419152510206342</v>
      </c>
      <c r="E13" s="229">
        <f>(C13*'T3 Inputs'!$B$16)/907185</f>
        <v>0.1654413490604274</v>
      </c>
      <c r="F13" s="229">
        <f>(C13*'T3 Inputs'!$B$18)/907185</f>
        <v>0.8708396285708212</v>
      </c>
      <c r="G13" s="510">
        <f>(C13*'T3 Inputs'!$B$20)/907185</f>
        <v>7.8175582523059103E-2</v>
      </c>
      <c r="H13" s="186">
        <f>'T5 Avoided Truck Miles'!G14</f>
        <v>108413.70513107725</v>
      </c>
      <c r="I13" s="229">
        <f>(H13*'T3 Inputs'!$B$24)/907185</f>
        <v>1.3133667547308863</v>
      </c>
      <c r="J13" s="229">
        <f>(H13*'T3 Inputs'!$B$21)/907185</f>
        <v>6.5130562450257778E-2</v>
      </c>
      <c r="K13" s="229">
        <f>(H13*'T3 Inputs'!$B$23)/907185</f>
        <v>0.37154297001440628</v>
      </c>
      <c r="L13" s="510">
        <f>(H13*'T3 Inputs'!$B$25)/907185</f>
        <v>2.8442337363598809E-2</v>
      </c>
      <c r="M13" s="511">
        <f t="shared" si="1"/>
        <v>2.0285484962897478</v>
      </c>
      <c r="N13" s="229">
        <f t="shared" si="2"/>
        <v>0.10031078661016962</v>
      </c>
      <c r="O13" s="229">
        <f t="shared" si="3"/>
        <v>0.49929665855641492</v>
      </c>
      <c r="P13" s="510">
        <f t="shared" si="4"/>
        <v>4.9733245159460295E-2</v>
      </c>
    </row>
    <row r="14" spans="1:16" x14ac:dyDescent="0.2">
      <c r="A14" s="226">
        <f t="shared" si="5"/>
        <v>11</v>
      </c>
      <c r="B14" s="183">
        <v>2030</v>
      </c>
      <c r="C14" s="186">
        <f>'T5 Avoided Truck Miles'!F15</f>
        <v>329859.1434008436</v>
      </c>
      <c r="D14" s="229">
        <f>(C14*'T3 Inputs'!$B$19)/907185</f>
        <v>3.3419152510206342</v>
      </c>
      <c r="E14" s="229">
        <f>(C14*'T3 Inputs'!$B$16)/907185</f>
        <v>0.1654413490604274</v>
      </c>
      <c r="F14" s="229">
        <f>(C14*'T3 Inputs'!$B$18)/907185</f>
        <v>0.8708396285708212</v>
      </c>
      <c r="G14" s="510">
        <f>(C14*'T3 Inputs'!$B$20)/907185</f>
        <v>7.8175582523059103E-2</v>
      </c>
      <c r="H14" s="186">
        <f>'T5 Avoided Truck Miles'!G15</f>
        <v>108413.70513107725</v>
      </c>
      <c r="I14" s="229">
        <f>(H14*'T3 Inputs'!$B$24)/907185</f>
        <v>1.3133667547308863</v>
      </c>
      <c r="J14" s="229">
        <f>(H14*'T3 Inputs'!$B$21)/907185</f>
        <v>6.5130562450257778E-2</v>
      </c>
      <c r="K14" s="229">
        <f>(H14*'T3 Inputs'!$B$23)/907185</f>
        <v>0.37154297001440628</v>
      </c>
      <c r="L14" s="510">
        <f>(H14*'T3 Inputs'!$B$25)/907185</f>
        <v>2.8442337363598809E-2</v>
      </c>
      <c r="M14" s="511">
        <f t="shared" si="1"/>
        <v>2.0285484962897478</v>
      </c>
      <c r="N14" s="229">
        <f t="shared" si="2"/>
        <v>0.10031078661016962</v>
      </c>
      <c r="O14" s="229">
        <f t="shared" si="3"/>
        <v>0.49929665855641492</v>
      </c>
      <c r="P14" s="510">
        <f t="shared" si="4"/>
        <v>4.9733245159460295E-2</v>
      </c>
    </row>
    <row r="15" spans="1:16" x14ac:dyDescent="0.2">
      <c r="A15" s="226">
        <f t="shared" si="5"/>
        <v>12</v>
      </c>
      <c r="B15" s="183">
        <v>2031</v>
      </c>
      <c r="C15" s="186">
        <f>'T5 Avoided Truck Miles'!F16</f>
        <v>329859.1434008436</v>
      </c>
      <c r="D15" s="229">
        <f>(C15*'T3 Inputs'!$B$19)/907185</f>
        <v>3.3419152510206342</v>
      </c>
      <c r="E15" s="229">
        <f>(C15*'T3 Inputs'!$B$16)/907185</f>
        <v>0.1654413490604274</v>
      </c>
      <c r="F15" s="229">
        <f>(C15*'T3 Inputs'!$B$18)/907185</f>
        <v>0.8708396285708212</v>
      </c>
      <c r="G15" s="510">
        <f>(C15*'T3 Inputs'!$B$20)/907185</f>
        <v>7.8175582523059103E-2</v>
      </c>
      <c r="H15" s="186">
        <f>'T5 Avoided Truck Miles'!G16</f>
        <v>108413.70513107725</v>
      </c>
      <c r="I15" s="229">
        <f>(H15*'T3 Inputs'!$B$24)/907185</f>
        <v>1.3133667547308863</v>
      </c>
      <c r="J15" s="229">
        <f>(H15*'T3 Inputs'!$B$21)/907185</f>
        <v>6.5130562450257778E-2</v>
      </c>
      <c r="K15" s="229">
        <f>(H15*'T3 Inputs'!$B$23)/907185</f>
        <v>0.37154297001440628</v>
      </c>
      <c r="L15" s="510">
        <f>(H15*'T3 Inputs'!$B$25)/907185</f>
        <v>2.8442337363598809E-2</v>
      </c>
      <c r="M15" s="511">
        <f t="shared" si="1"/>
        <v>2.0285484962897478</v>
      </c>
      <c r="N15" s="229">
        <f t="shared" si="2"/>
        <v>0.10031078661016962</v>
      </c>
      <c r="O15" s="229">
        <f t="shared" si="3"/>
        <v>0.49929665855641492</v>
      </c>
      <c r="P15" s="510">
        <f t="shared" si="4"/>
        <v>4.9733245159460295E-2</v>
      </c>
    </row>
    <row r="16" spans="1:16" x14ac:dyDescent="0.2">
      <c r="A16" s="226">
        <f t="shared" si="5"/>
        <v>13</v>
      </c>
      <c r="B16" s="183">
        <v>2032</v>
      </c>
      <c r="C16" s="186">
        <f>'T5 Avoided Truck Miles'!F17</f>
        <v>329859.1434008436</v>
      </c>
      <c r="D16" s="229">
        <f>(C16*'T3 Inputs'!$B$19)/907185</f>
        <v>3.3419152510206342</v>
      </c>
      <c r="E16" s="229">
        <f>(C16*'T3 Inputs'!$B$16)/907185</f>
        <v>0.1654413490604274</v>
      </c>
      <c r="F16" s="229">
        <f>(C16*'T3 Inputs'!$B$18)/907185</f>
        <v>0.8708396285708212</v>
      </c>
      <c r="G16" s="510">
        <f>(C16*'T3 Inputs'!$B$20)/907185</f>
        <v>7.8175582523059103E-2</v>
      </c>
      <c r="H16" s="186">
        <f>'T5 Avoided Truck Miles'!G17</f>
        <v>108413.70513107725</v>
      </c>
      <c r="I16" s="229">
        <f>(H16*'T3 Inputs'!$B$24)/907185</f>
        <v>1.3133667547308863</v>
      </c>
      <c r="J16" s="229">
        <f>(H16*'T3 Inputs'!$B$21)/907185</f>
        <v>6.5130562450257778E-2</v>
      </c>
      <c r="K16" s="229">
        <f>(H16*'T3 Inputs'!$B$23)/907185</f>
        <v>0.37154297001440628</v>
      </c>
      <c r="L16" s="510">
        <f>(H16*'T3 Inputs'!$B$25)/907185</f>
        <v>2.8442337363598809E-2</v>
      </c>
      <c r="M16" s="511">
        <f t="shared" si="1"/>
        <v>2.0285484962897478</v>
      </c>
      <c r="N16" s="229">
        <f t="shared" si="2"/>
        <v>0.10031078661016962</v>
      </c>
      <c r="O16" s="229">
        <f t="shared" si="3"/>
        <v>0.49929665855641492</v>
      </c>
      <c r="P16" s="510">
        <f t="shared" si="4"/>
        <v>4.9733245159460295E-2</v>
      </c>
    </row>
    <row r="17" spans="1:16" x14ac:dyDescent="0.2">
      <c r="A17" s="226">
        <f t="shared" si="5"/>
        <v>14</v>
      </c>
      <c r="B17" s="183">
        <v>2033</v>
      </c>
      <c r="C17" s="186">
        <f>'T5 Avoided Truck Miles'!F18</f>
        <v>329859.1434008436</v>
      </c>
      <c r="D17" s="229">
        <f>(C17*'T3 Inputs'!$B$19)/907185</f>
        <v>3.3419152510206342</v>
      </c>
      <c r="E17" s="229">
        <f>(C17*'T3 Inputs'!$B$16)/907185</f>
        <v>0.1654413490604274</v>
      </c>
      <c r="F17" s="229">
        <f>(C17*'T3 Inputs'!$B$18)/907185</f>
        <v>0.8708396285708212</v>
      </c>
      <c r="G17" s="510">
        <f>(C17*'T3 Inputs'!$B$20)/907185</f>
        <v>7.8175582523059103E-2</v>
      </c>
      <c r="H17" s="186">
        <f>'T5 Avoided Truck Miles'!G18</f>
        <v>108413.70513107725</v>
      </c>
      <c r="I17" s="229">
        <f>(H17*'T3 Inputs'!$B$24)/907185</f>
        <v>1.3133667547308863</v>
      </c>
      <c r="J17" s="229">
        <f>(H17*'T3 Inputs'!$B$21)/907185</f>
        <v>6.5130562450257778E-2</v>
      </c>
      <c r="K17" s="229">
        <f>(H17*'T3 Inputs'!$B$23)/907185</f>
        <v>0.37154297001440628</v>
      </c>
      <c r="L17" s="510">
        <f>(H17*'T3 Inputs'!$B$25)/907185</f>
        <v>2.8442337363598809E-2</v>
      </c>
      <c r="M17" s="511">
        <f t="shared" si="1"/>
        <v>2.0285484962897478</v>
      </c>
      <c r="N17" s="229">
        <f t="shared" si="2"/>
        <v>0.10031078661016962</v>
      </c>
      <c r="O17" s="229">
        <f t="shared" si="3"/>
        <v>0.49929665855641492</v>
      </c>
      <c r="P17" s="510">
        <f t="shared" si="4"/>
        <v>4.9733245159460295E-2</v>
      </c>
    </row>
    <row r="18" spans="1:16" x14ac:dyDescent="0.2">
      <c r="A18" s="226">
        <f t="shared" si="5"/>
        <v>15</v>
      </c>
      <c r="B18" s="183">
        <v>2034</v>
      </c>
      <c r="C18" s="186">
        <f>'T5 Avoided Truck Miles'!F19</f>
        <v>329859.1434008436</v>
      </c>
      <c r="D18" s="229">
        <f>(C18*'T3 Inputs'!$B$19)/907185</f>
        <v>3.3419152510206342</v>
      </c>
      <c r="E18" s="229">
        <f>(C18*'T3 Inputs'!$B$16)/907185</f>
        <v>0.1654413490604274</v>
      </c>
      <c r="F18" s="229">
        <f>(C18*'T3 Inputs'!$B$18)/907185</f>
        <v>0.8708396285708212</v>
      </c>
      <c r="G18" s="510">
        <f>(C18*'T3 Inputs'!$B$20)/907185</f>
        <v>7.8175582523059103E-2</v>
      </c>
      <c r="H18" s="186">
        <f>'T5 Avoided Truck Miles'!G19</f>
        <v>108413.70513107725</v>
      </c>
      <c r="I18" s="229">
        <f>(H18*'T3 Inputs'!$B$24)/907185</f>
        <v>1.3133667547308863</v>
      </c>
      <c r="J18" s="229">
        <f>(H18*'T3 Inputs'!$B$21)/907185</f>
        <v>6.5130562450257778E-2</v>
      </c>
      <c r="K18" s="229">
        <f>(H18*'T3 Inputs'!$B$23)/907185</f>
        <v>0.37154297001440628</v>
      </c>
      <c r="L18" s="510">
        <f>(H18*'T3 Inputs'!$B$25)/907185</f>
        <v>2.8442337363598809E-2</v>
      </c>
      <c r="M18" s="511">
        <f t="shared" si="1"/>
        <v>2.0285484962897478</v>
      </c>
      <c r="N18" s="229">
        <f t="shared" si="2"/>
        <v>0.10031078661016962</v>
      </c>
      <c r="O18" s="229">
        <f t="shared" si="3"/>
        <v>0.49929665855641492</v>
      </c>
      <c r="P18" s="510">
        <f t="shared" si="4"/>
        <v>4.9733245159460295E-2</v>
      </c>
    </row>
    <row r="19" spans="1:16" x14ac:dyDescent="0.2">
      <c r="A19" s="226">
        <f t="shared" si="5"/>
        <v>16</v>
      </c>
      <c r="B19" s="183">
        <v>2035</v>
      </c>
      <c r="C19" s="186">
        <f>'T5 Avoided Truck Miles'!F20</f>
        <v>329859.1434008436</v>
      </c>
      <c r="D19" s="229">
        <f>(C19*'T3 Inputs'!$B$19)/907185</f>
        <v>3.3419152510206342</v>
      </c>
      <c r="E19" s="229">
        <f>(C19*'T3 Inputs'!$B$16)/907185</f>
        <v>0.1654413490604274</v>
      </c>
      <c r="F19" s="229">
        <f>(C19*'T3 Inputs'!$B$18)/907185</f>
        <v>0.8708396285708212</v>
      </c>
      <c r="G19" s="510">
        <f>(C19*'T3 Inputs'!$B$20)/907185</f>
        <v>7.8175582523059103E-2</v>
      </c>
      <c r="H19" s="186">
        <f>'T5 Avoided Truck Miles'!G20</f>
        <v>108413.70513107725</v>
      </c>
      <c r="I19" s="229">
        <f>(H19*'T3 Inputs'!$B$24)/907185</f>
        <v>1.3133667547308863</v>
      </c>
      <c r="J19" s="229">
        <f>(H19*'T3 Inputs'!$B$21)/907185</f>
        <v>6.5130562450257778E-2</v>
      </c>
      <c r="K19" s="229">
        <f>(H19*'T3 Inputs'!$B$23)/907185</f>
        <v>0.37154297001440628</v>
      </c>
      <c r="L19" s="510">
        <f>(H19*'T3 Inputs'!$B$25)/907185</f>
        <v>2.8442337363598809E-2</v>
      </c>
      <c r="M19" s="511">
        <f t="shared" si="1"/>
        <v>2.0285484962897478</v>
      </c>
      <c r="N19" s="229">
        <f t="shared" si="2"/>
        <v>0.10031078661016962</v>
      </c>
      <c r="O19" s="229">
        <f t="shared" si="3"/>
        <v>0.49929665855641492</v>
      </c>
      <c r="P19" s="510">
        <f t="shared" si="4"/>
        <v>4.9733245159460295E-2</v>
      </c>
    </row>
    <row r="20" spans="1:16" x14ac:dyDescent="0.2">
      <c r="A20" s="226">
        <f t="shared" si="5"/>
        <v>17</v>
      </c>
      <c r="B20" s="183">
        <v>2036</v>
      </c>
      <c r="C20" s="186">
        <f>'T5 Avoided Truck Miles'!F21</f>
        <v>329859.1434008436</v>
      </c>
      <c r="D20" s="229">
        <f>(C20*'T3 Inputs'!$B$19)/907185</f>
        <v>3.3419152510206342</v>
      </c>
      <c r="E20" s="229">
        <f>(C20*'T3 Inputs'!$B$16)/907185</f>
        <v>0.1654413490604274</v>
      </c>
      <c r="F20" s="229">
        <f>(C20*'T3 Inputs'!$B$18)/907185</f>
        <v>0.8708396285708212</v>
      </c>
      <c r="G20" s="510">
        <f>(C20*'T3 Inputs'!$B$20)/907185</f>
        <v>7.8175582523059103E-2</v>
      </c>
      <c r="H20" s="186">
        <f>'T5 Avoided Truck Miles'!G21</f>
        <v>108413.70513107725</v>
      </c>
      <c r="I20" s="229">
        <f>(H20*'T3 Inputs'!$B$24)/907185</f>
        <v>1.3133667547308863</v>
      </c>
      <c r="J20" s="229">
        <f>(H20*'T3 Inputs'!$B$21)/907185</f>
        <v>6.5130562450257778E-2</v>
      </c>
      <c r="K20" s="229">
        <f>(H20*'T3 Inputs'!$B$23)/907185</f>
        <v>0.37154297001440628</v>
      </c>
      <c r="L20" s="510">
        <f>(H20*'T3 Inputs'!$B$25)/907185</f>
        <v>2.8442337363598809E-2</v>
      </c>
      <c r="M20" s="511">
        <f t="shared" si="1"/>
        <v>2.0285484962897478</v>
      </c>
      <c r="N20" s="229">
        <f t="shared" si="2"/>
        <v>0.10031078661016962</v>
      </c>
      <c r="O20" s="229">
        <f t="shared" si="3"/>
        <v>0.49929665855641492</v>
      </c>
      <c r="P20" s="510">
        <f t="shared" si="4"/>
        <v>4.9733245159460295E-2</v>
      </c>
    </row>
    <row r="21" spans="1:16" x14ac:dyDescent="0.2">
      <c r="A21" s="226">
        <f t="shared" si="5"/>
        <v>18</v>
      </c>
      <c r="B21" s="183">
        <v>2037</v>
      </c>
      <c r="C21" s="186">
        <f>'T5 Avoided Truck Miles'!F22</f>
        <v>329859.1434008436</v>
      </c>
      <c r="D21" s="229">
        <f>(C21*'T3 Inputs'!$B$19)/907185</f>
        <v>3.3419152510206342</v>
      </c>
      <c r="E21" s="229">
        <f>(C21*'T3 Inputs'!$B$16)/907185</f>
        <v>0.1654413490604274</v>
      </c>
      <c r="F21" s="229">
        <f>(C21*'T3 Inputs'!$B$18)/907185</f>
        <v>0.8708396285708212</v>
      </c>
      <c r="G21" s="510">
        <f>(C21*'T3 Inputs'!$B$20)/907185</f>
        <v>7.8175582523059103E-2</v>
      </c>
      <c r="H21" s="186">
        <f>'T5 Avoided Truck Miles'!G22</f>
        <v>108413.70513107725</v>
      </c>
      <c r="I21" s="229">
        <f>(H21*'T3 Inputs'!$B$24)/907185</f>
        <v>1.3133667547308863</v>
      </c>
      <c r="J21" s="229">
        <f>(H21*'T3 Inputs'!$B$21)/907185</f>
        <v>6.5130562450257778E-2</v>
      </c>
      <c r="K21" s="229">
        <f>(H21*'T3 Inputs'!$B$23)/907185</f>
        <v>0.37154297001440628</v>
      </c>
      <c r="L21" s="510">
        <f>(H21*'T3 Inputs'!$B$25)/907185</f>
        <v>2.8442337363598809E-2</v>
      </c>
      <c r="M21" s="511">
        <f t="shared" si="1"/>
        <v>2.0285484962897478</v>
      </c>
      <c r="N21" s="229">
        <f t="shared" si="2"/>
        <v>0.10031078661016962</v>
      </c>
      <c r="O21" s="229">
        <f t="shared" si="3"/>
        <v>0.49929665855641492</v>
      </c>
      <c r="P21" s="510">
        <f t="shared" si="4"/>
        <v>4.9733245159460295E-2</v>
      </c>
    </row>
    <row r="22" spans="1:16" x14ac:dyDescent="0.2">
      <c r="A22" s="226">
        <f t="shared" si="5"/>
        <v>19</v>
      </c>
      <c r="B22" s="183">
        <v>2038</v>
      </c>
      <c r="C22" s="186">
        <f>'T5 Avoided Truck Miles'!F23</f>
        <v>329859.1434008436</v>
      </c>
      <c r="D22" s="229">
        <f>(C22*'T3 Inputs'!$B$19)/907185</f>
        <v>3.3419152510206342</v>
      </c>
      <c r="E22" s="229">
        <f>(C22*'T3 Inputs'!$B$16)/907185</f>
        <v>0.1654413490604274</v>
      </c>
      <c r="F22" s="229">
        <f>(C22*'T3 Inputs'!$B$18)/907185</f>
        <v>0.8708396285708212</v>
      </c>
      <c r="G22" s="510">
        <f>(C22*'T3 Inputs'!$B$20)/907185</f>
        <v>7.8175582523059103E-2</v>
      </c>
      <c r="H22" s="186">
        <f>'T5 Avoided Truck Miles'!G23</f>
        <v>108413.70513107725</v>
      </c>
      <c r="I22" s="229">
        <f>(H22*'T3 Inputs'!$B$24)/907185</f>
        <v>1.3133667547308863</v>
      </c>
      <c r="J22" s="229">
        <f>(H22*'T3 Inputs'!$B$21)/907185</f>
        <v>6.5130562450257778E-2</v>
      </c>
      <c r="K22" s="229">
        <f>(H22*'T3 Inputs'!$B$23)/907185</f>
        <v>0.37154297001440628</v>
      </c>
      <c r="L22" s="510">
        <f>(H22*'T3 Inputs'!$B$25)/907185</f>
        <v>2.8442337363598809E-2</v>
      </c>
      <c r="M22" s="511">
        <f t="shared" si="1"/>
        <v>2.0285484962897478</v>
      </c>
      <c r="N22" s="229">
        <f t="shared" si="2"/>
        <v>0.10031078661016962</v>
      </c>
      <c r="O22" s="229">
        <f t="shared" si="3"/>
        <v>0.49929665855641492</v>
      </c>
      <c r="P22" s="510">
        <f t="shared" si="4"/>
        <v>4.9733245159460295E-2</v>
      </c>
    </row>
    <row r="23" spans="1:16" x14ac:dyDescent="0.2">
      <c r="A23" s="226">
        <f t="shared" si="5"/>
        <v>20</v>
      </c>
      <c r="B23" s="183">
        <v>2039</v>
      </c>
      <c r="C23" s="186">
        <f>'T5 Avoided Truck Miles'!F24</f>
        <v>329859.1434008436</v>
      </c>
      <c r="D23" s="229">
        <f>(C23*'T3 Inputs'!$B$19)/907185</f>
        <v>3.3419152510206342</v>
      </c>
      <c r="E23" s="229">
        <f>(C23*'T3 Inputs'!$B$16)/907185</f>
        <v>0.1654413490604274</v>
      </c>
      <c r="F23" s="229">
        <f>(C23*'T3 Inputs'!$B$18)/907185</f>
        <v>0.8708396285708212</v>
      </c>
      <c r="G23" s="510">
        <f>(C23*'T3 Inputs'!$B$20)/907185</f>
        <v>7.8175582523059103E-2</v>
      </c>
      <c r="H23" s="186">
        <f>'T5 Avoided Truck Miles'!G24</f>
        <v>108413.70513107725</v>
      </c>
      <c r="I23" s="229">
        <f>(H23*'T3 Inputs'!$B$24)/907185</f>
        <v>1.3133667547308863</v>
      </c>
      <c r="J23" s="229">
        <f>(H23*'T3 Inputs'!$B$21)/907185</f>
        <v>6.5130562450257778E-2</v>
      </c>
      <c r="K23" s="229">
        <f>(H23*'T3 Inputs'!$B$23)/907185</f>
        <v>0.37154297001440628</v>
      </c>
      <c r="L23" s="510">
        <f>(H23*'T3 Inputs'!$B$25)/907185</f>
        <v>2.8442337363598809E-2</v>
      </c>
      <c r="M23" s="511">
        <f t="shared" si="1"/>
        <v>2.0285484962897478</v>
      </c>
      <c r="N23" s="229">
        <f t="shared" si="2"/>
        <v>0.10031078661016962</v>
      </c>
      <c r="O23" s="229">
        <f t="shared" si="3"/>
        <v>0.49929665855641492</v>
      </c>
      <c r="P23" s="510">
        <f t="shared" si="4"/>
        <v>4.9733245159460295E-2</v>
      </c>
    </row>
    <row r="24" spans="1:16" x14ac:dyDescent="0.2">
      <c r="A24" s="226">
        <f t="shared" si="5"/>
        <v>21</v>
      </c>
      <c r="B24" s="183">
        <v>2040</v>
      </c>
      <c r="C24" s="186">
        <f>'T5 Avoided Truck Miles'!F25</f>
        <v>329859.1434008436</v>
      </c>
      <c r="D24" s="229">
        <f>(C24*'T3 Inputs'!$B$19)/907185</f>
        <v>3.3419152510206342</v>
      </c>
      <c r="E24" s="229">
        <f>(C24*'T3 Inputs'!$B$16)/907185</f>
        <v>0.1654413490604274</v>
      </c>
      <c r="F24" s="229">
        <f>(C24*'T3 Inputs'!$B$18)/907185</f>
        <v>0.8708396285708212</v>
      </c>
      <c r="G24" s="510">
        <f>(C24*'T3 Inputs'!$B$20)/907185</f>
        <v>7.8175582523059103E-2</v>
      </c>
      <c r="H24" s="186">
        <f>'T5 Avoided Truck Miles'!G25</f>
        <v>108413.70513107725</v>
      </c>
      <c r="I24" s="229">
        <f>(H24*'T3 Inputs'!$B$24)/907185</f>
        <v>1.3133667547308863</v>
      </c>
      <c r="J24" s="229">
        <f>(H24*'T3 Inputs'!$B$21)/907185</f>
        <v>6.5130562450257778E-2</v>
      </c>
      <c r="K24" s="229">
        <f>(H24*'T3 Inputs'!$B$23)/907185</f>
        <v>0.37154297001440628</v>
      </c>
      <c r="L24" s="510">
        <f>(H24*'T3 Inputs'!$B$25)/907185</f>
        <v>2.8442337363598809E-2</v>
      </c>
      <c r="M24" s="511">
        <f t="shared" si="1"/>
        <v>2.0285484962897478</v>
      </c>
      <c r="N24" s="229">
        <f t="shared" si="2"/>
        <v>0.10031078661016962</v>
      </c>
      <c r="O24" s="229">
        <f t="shared" si="3"/>
        <v>0.49929665855641492</v>
      </c>
      <c r="P24" s="510">
        <f t="shared" si="4"/>
        <v>4.9733245159460295E-2</v>
      </c>
    </row>
    <row r="25" spans="1:16" x14ac:dyDescent="0.2">
      <c r="A25" s="226">
        <f t="shared" si="5"/>
        <v>22</v>
      </c>
      <c r="B25" s="183">
        <v>2041</v>
      </c>
      <c r="C25" s="186">
        <f>'T5 Avoided Truck Miles'!F26</f>
        <v>329859.1434008436</v>
      </c>
      <c r="D25" s="229">
        <f>(C25*'T3 Inputs'!$B$19)/907185</f>
        <v>3.3419152510206342</v>
      </c>
      <c r="E25" s="229">
        <f>(C25*'T3 Inputs'!$B$16)/907185</f>
        <v>0.1654413490604274</v>
      </c>
      <c r="F25" s="229">
        <f>(C25*'T3 Inputs'!$B$18)/907185</f>
        <v>0.8708396285708212</v>
      </c>
      <c r="G25" s="510">
        <f>(C25*'T3 Inputs'!$B$20)/907185</f>
        <v>7.8175582523059103E-2</v>
      </c>
      <c r="H25" s="186">
        <f>'T5 Avoided Truck Miles'!G26</f>
        <v>108413.70513107725</v>
      </c>
      <c r="I25" s="229">
        <f>(H25*'T3 Inputs'!$B$24)/907185</f>
        <v>1.3133667547308863</v>
      </c>
      <c r="J25" s="229">
        <f>(H25*'T3 Inputs'!$B$21)/907185</f>
        <v>6.5130562450257778E-2</v>
      </c>
      <c r="K25" s="229">
        <f>(H25*'T3 Inputs'!$B$23)/907185</f>
        <v>0.37154297001440628</v>
      </c>
      <c r="L25" s="510">
        <f>(H25*'T3 Inputs'!$B$25)/907185</f>
        <v>2.8442337363598809E-2</v>
      </c>
      <c r="M25" s="511">
        <f t="shared" si="1"/>
        <v>2.0285484962897478</v>
      </c>
      <c r="N25" s="229">
        <f t="shared" si="2"/>
        <v>0.10031078661016962</v>
      </c>
      <c r="O25" s="229">
        <f t="shared" si="3"/>
        <v>0.49929665855641492</v>
      </c>
      <c r="P25" s="510">
        <f t="shared" si="4"/>
        <v>4.9733245159460295E-2</v>
      </c>
    </row>
    <row r="26" spans="1:16" x14ac:dyDescent="0.2">
      <c r="A26" s="226">
        <f t="shared" si="5"/>
        <v>23</v>
      </c>
      <c r="B26" s="183">
        <v>2042</v>
      </c>
      <c r="C26" s="186">
        <f>'T5 Avoided Truck Miles'!F27</f>
        <v>329859.1434008436</v>
      </c>
      <c r="D26" s="229">
        <f>(C26*'T3 Inputs'!$B$19)/907185</f>
        <v>3.3419152510206342</v>
      </c>
      <c r="E26" s="229">
        <f>(C26*'T3 Inputs'!$B$16)/907185</f>
        <v>0.1654413490604274</v>
      </c>
      <c r="F26" s="229">
        <f>(C26*'T3 Inputs'!$B$18)/907185</f>
        <v>0.8708396285708212</v>
      </c>
      <c r="G26" s="510">
        <f>(C26*'T3 Inputs'!$B$20)/907185</f>
        <v>7.8175582523059103E-2</v>
      </c>
      <c r="H26" s="186">
        <f>'T5 Avoided Truck Miles'!G27</f>
        <v>108413.70513107725</v>
      </c>
      <c r="I26" s="229">
        <f>(H26*'T3 Inputs'!$B$24)/907185</f>
        <v>1.3133667547308863</v>
      </c>
      <c r="J26" s="229">
        <f>(H26*'T3 Inputs'!$B$21)/907185</f>
        <v>6.5130562450257778E-2</v>
      </c>
      <c r="K26" s="229">
        <f>(H26*'T3 Inputs'!$B$23)/907185</f>
        <v>0.37154297001440628</v>
      </c>
      <c r="L26" s="510">
        <f>(H26*'T3 Inputs'!$B$25)/907185</f>
        <v>2.8442337363598809E-2</v>
      </c>
      <c r="M26" s="511">
        <f t="shared" si="1"/>
        <v>2.0285484962897478</v>
      </c>
      <c r="N26" s="229">
        <f t="shared" si="2"/>
        <v>0.10031078661016962</v>
      </c>
      <c r="O26" s="229">
        <f t="shared" si="3"/>
        <v>0.49929665855641492</v>
      </c>
      <c r="P26" s="510">
        <f t="shared" si="4"/>
        <v>4.9733245159460295E-2</v>
      </c>
    </row>
    <row r="27" spans="1:16" x14ac:dyDescent="0.2">
      <c r="A27" s="226">
        <f t="shared" si="5"/>
        <v>24</v>
      </c>
      <c r="B27" s="183">
        <v>2043</v>
      </c>
      <c r="C27" s="186">
        <f>'T5 Avoided Truck Miles'!F28</f>
        <v>329859.1434008436</v>
      </c>
      <c r="D27" s="229">
        <f>(C27*'T3 Inputs'!$B$19)/907185</f>
        <v>3.3419152510206342</v>
      </c>
      <c r="E27" s="229">
        <f>(C27*'T3 Inputs'!$B$16)/907185</f>
        <v>0.1654413490604274</v>
      </c>
      <c r="F27" s="229">
        <f>(C27*'T3 Inputs'!$B$18)/907185</f>
        <v>0.8708396285708212</v>
      </c>
      <c r="G27" s="510">
        <f>(C27*'T3 Inputs'!$B$20)/907185</f>
        <v>7.8175582523059103E-2</v>
      </c>
      <c r="H27" s="186">
        <f>'T5 Avoided Truck Miles'!G28</f>
        <v>108413.70513107725</v>
      </c>
      <c r="I27" s="229">
        <f>(H27*'T3 Inputs'!$B$24)/907185</f>
        <v>1.3133667547308863</v>
      </c>
      <c r="J27" s="229">
        <f>(H27*'T3 Inputs'!$B$21)/907185</f>
        <v>6.5130562450257778E-2</v>
      </c>
      <c r="K27" s="229">
        <f>(H27*'T3 Inputs'!$B$23)/907185</f>
        <v>0.37154297001440628</v>
      </c>
      <c r="L27" s="510">
        <f>(H27*'T3 Inputs'!$B$25)/907185</f>
        <v>2.8442337363598809E-2</v>
      </c>
      <c r="M27" s="511">
        <f t="shared" si="1"/>
        <v>2.0285484962897478</v>
      </c>
      <c r="N27" s="229">
        <f t="shared" si="2"/>
        <v>0.10031078661016962</v>
      </c>
      <c r="O27" s="229">
        <f t="shared" si="3"/>
        <v>0.49929665855641492</v>
      </c>
      <c r="P27" s="510">
        <f t="shared" si="4"/>
        <v>4.9733245159460295E-2</v>
      </c>
    </row>
    <row r="28" spans="1:16" x14ac:dyDescent="0.2">
      <c r="A28" s="226">
        <f t="shared" si="5"/>
        <v>25</v>
      </c>
      <c r="B28" s="183">
        <v>2044</v>
      </c>
      <c r="C28" s="186">
        <f>'T5 Avoided Truck Miles'!F29</f>
        <v>329859.1434008436</v>
      </c>
      <c r="D28" s="229">
        <f>(C28*'T3 Inputs'!$B$19)/907185</f>
        <v>3.3419152510206342</v>
      </c>
      <c r="E28" s="229">
        <f>(C28*'T3 Inputs'!$B$16)/907185</f>
        <v>0.1654413490604274</v>
      </c>
      <c r="F28" s="229">
        <f>(C28*'T3 Inputs'!$B$18)/907185</f>
        <v>0.8708396285708212</v>
      </c>
      <c r="G28" s="510">
        <f>(C28*'T3 Inputs'!$B$20)/907185</f>
        <v>7.8175582523059103E-2</v>
      </c>
      <c r="H28" s="186">
        <f>'T5 Avoided Truck Miles'!G29</f>
        <v>108413.70513107725</v>
      </c>
      <c r="I28" s="229">
        <f>(H28*'T3 Inputs'!$B$24)/907185</f>
        <v>1.3133667547308863</v>
      </c>
      <c r="J28" s="229">
        <f>(H28*'T3 Inputs'!$B$21)/907185</f>
        <v>6.5130562450257778E-2</v>
      </c>
      <c r="K28" s="229">
        <f>(H28*'T3 Inputs'!$B$23)/907185</f>
        <v>0.37154297001440628</v>
      </c>
      <c r="L28" s="510">
        <f>(H28*'T3 Inputs'!$B$25)/907185</f>
        <v>2.8442337363598809E-2</v>
      </c>
      <c r="M28" s="511">
        <f t="shared" si="1"/>
        <v>2.0285484962897478</v>
      </c>
      <c r="N28" s="229">
        <f t="shared" si="2"/>
        <v>0.10031078661016962</v>
      </c>
      <c r="O28" s="229">
        <f t="shared" si="3"/>
        <v>0.49929665855641492</v>
      </c>
      <c r="P28" s="510">
        <f t="shared" si="4"/>
        <v>4.9733245159460295E-2</v>
      </c>
    </row>
    <row r="29" spans="1:16" x14ac:dyDescent="0.2">
      <c r="A29" s="226">
        <f t="shared" si="5"/>
        <v>26</v>
      </c>
      <c r="B29" s="183">
        <v>2045</v>
      </c>
      <c r="C29" s="186">
        <f>'T5 Avoided Truck Miles'!F30</f>
        <v>329859.1434008436</v>
      </c>
      <c r="D29" s="229">
        <f>(C29*'T3 Inputs'!$B$19)/907185</f>
        <v>3.3419152510206342</v>
      </c>
      <c r="E29" s="229">
        <f>(C29*'T3 Inputs'!$B$16)/907185</f>
        <v>0.1654413490604274</v>
      </c>
      <c r="F29" s="229">
        <f>(C29*'T3 Inputs'!$B$18)/907185</f>
        <v>0.8708396285708212</v>
      </c>
      <c r="G29" s="510">
        <f>(C29*'T3 Inputs'!$B$20)/907185</f>
        <v>7.8175582523059103E-2</v>
      </c>
      <c r="H29" s="186">
        <f>'T5 Avoided Truck Miles'!G30</f>
        <v>108413.70513107725</v>
      </c>
      <c r="I29" s="229">
        <f>(H29*'T3 Inputs'!$B$24)/907185</f>
        <v>1.3133667547308863</v>
      </c>
      <c r="J29" s="229">
        <f>(H29*'T3 Inputs'!$B$21)/907185</f>
        <v>6.5130562450257778E-2</v>
      </c>
      <c r="K29" s="229">
        <f>(H29*'T3 Inputs'!$B$23)/907185</f>
        <v>0.37154297001440628</v>
      </c>
      <c r="L29" s="510">
        <f>(H29*'T3 Inputs'!$B$25)/907185</f>
        <v>2.8442337363598809E-2</v>
      </c>
      <c r="M29" s="511">
        <f t="shared" si="1"/>
        <v>2.0285484962897478</v>
      </c>
      <c r="N29" s="229">
        <f t="shared" si="2"/>
        <v>0.10031078661016962</v>
      </c>
      <c r="O29" s="229">
        <f t="shared" si="3"/>
        <v>0.49929665855641492</v>
      </c>
      <c r="P29" s="510">
        <f t="shared" si="4"/>
        <v>4.9733245159460295E-2</v>
      </c>
    </row>
    <row r="30" spans="1:16" x14ac:dyDescent="0.2">
      <c r="A30" s="226">
        <f t="shared" si="5"/>
        <v>27</v>
      </c>
      <c r="B30" s="183">
        <v>2046</v>
      </c>
      <c r="C30" s="186">
        <f>'T5 Avoided Truck Miles'!F31</f>
        <v>329859.1434008436</v>
      </c>
      <c r="D30" s="229">
        <f>(C30*'T3 Inputs'!$B$19)/907185</f>
        <v>3.3419152510206342</v>
      </c>
      <c r="E30" s="229">
        <f>(C30*'T3 Inputs'!$B$16)/907185</f>
        <v>0.1654413490604274</v>
      </c>
      <c r="F30" s="229">
        <f>(C30*'T3 Inputs'!$B$18)/907185</f>
        <v>0.8708396285708212</v>
      </c>
      <c r="G30" s="510">
        <f>(C30*'T3 Inputs'!$B$20)/907185</f>
        <v>7.8175582523059103E-2</v>
      </c>
      <c r="H30" s="186">
        <f>'T5 Avoided Truck Miles'!G31</f>
        <v>108413.70513107725</v>
      </c>
      <c r="I30" s="229">
        <f>(H30*'T3 Inputs'!$B$24)/907185</f>
        <v>1.3133667547308863</v>
      </c>
      <c r="J30" s="229">
        <f>(H30*'T3 Inputs'!$B$21)/907185</f>
        <v>6.5130562450257778E-2</v>
      </c>
      <c r="K30" s="229">
        <f>(H30*'T3 Inputs'!$B$23)/907185</f>
        <v>0.37154297001440628</v>
      </c>
      <c r="L30" s="510">
        <f>(H30*'T3 Inputs'!$B$25)/907185</f>
        <v>2.8442337363598809E-2</v>
      </c>
      <c r="M30" s="511">
        <f t="shared" si="1"/>
        <v>2.0285484962897478</v>
      </c>
      <c r="N30" s="229">
        <f t="shared" si="2"/>
        <v>0.10031078661016962</v>
      </c>
      <c r="O30" s="229">
        <f t="shared" si="3"/>
        <v>0.49929665855641492</v>
      </c>
      <c r="P30" s="510">
        <f t="shared" si="4"/>
        <v>4.9733245159460295E-2</v>
      </c>
    </row>
    <row r="31" spans="1:16" x14ac:dyDescent="0.2">
      <c r="A31" s="226">
        <f t="shared" si="5"/>
        <v>28</v>
      </c>
      <c r="B31" s="183">
        <v>2047</v>
      </c>
      <c r="C31" s="186">
        <f>'T5 Avoided Truck Miles'!F32</f>
        <v>329859.1434008436</v>
      </c>
      <c r="D31" s="229">
        <f>(C31*'T3 Inputs'!$B$19)/907185</f>
        <v>3.3419152510206342</v>
      </c>
      <c r="E31" s="229">
        <f>(C31*'T3 Inputs'!$B$16)/907185</f>
        <v>0.1654413490604274</v>
      </c>
      <c r="F31" s="229">
        <f>(C31*'T3 Inputs'!$B$18)/907185</f>
        <v>0.8708396285708212</v>
      </c>
      <c r="G31" s="510">
        <f>(C31*'T3 Inputs'!$B$20)/907185</f>
        <v>7.8175582523059103E-2</v>
      </c>
      <c r="H31" s="186">
        <f>'T5 Avoided Truck Miles'!G32</f>
        <v>108413.70513107725</v>
      </c>
      <c r="I31" s="229">
        <f>(H31*'T3 Inputs'!$B$24)/907185</f>
        <v>1.3133667547308863</v>
      </c>
      <c r="J31" s="229">
        <f>(H31*'T3 Inputs'!$B$21)/907185</f>
        <v>6.5130562450257778E-2</v>
      </c>
      <c r="K31" s="229">
        <f>(H31*'T3 Inputs'!$B$23)/907185</f>
        <v>0.37154297001440628</v>
      </c>
      <c r="L31" s="510">
        <f>(H31*'T3 Inputs'!$B$25)/907185</f>
        <v>2.8442337363598809E-2</v>
      </c>
      <c r="M31" s="511">
        <f t="shared" si="1"/>
        <v>2.0285484962897478</v>
      </c>
      <c r="N31" s="229">
        <f t="shared" si="2"/>
        <v>0.10031078661016962</v>
      </c>
      <c r="O31" s="229">
        <f t="shared" si="3"/>
        <v>0.49929665855641492</v>
      </c>
      <c r="P31" s="510">
        <f t="shared" si="4"/>
        <v>4.9733245159460295E-2</v>
      </c>
    </row>
    <row r="32" spans="1:16" x14ac:dyDescent="0.2">
      <c r="A32" s="226">
        <f t="shared" si="5"/>
        <v>29</v>
      </c>
      <c r="B32" s="183">
        <v>2048</v>
      </c>
      <c r="C32" s="186">
        <f>'T5 Avoided Truck Miles'!F33</f>
        <v>329859.1434008436</v>
      </c>
      <c r="D32" s="229">
        <f>(C32*'T3 Inputs'!$B$19)/907185</f>
        <v>3.3419152510206342</v>
      </c>
      <c r="E32" s="229">
        <f>(C32*'T3 Inputs'!$B$16)/907185</f>
        <v>0.1654413490604274</v>
      </c>
      <c r="F32" s="229">
        <f>(C32*'T3 Inputs'!$B$18)/907185</f>
        <v>0.8708396285708212</v>
      </c>
      <c r="G32" s="510">
        <f>(C32*'T3 Inputs'!$B$20)/907185</f>
        <v>7.8175582523059103E-2</v>
      </c>
      <c r="H32" s="186">
        <f>'T5 Avoided Truck Miles'!G33</f>
        <v>108413.70513107725</v>
      </c>
      <c r="I32" s="229">
        <f>(H32*'T3 Inputs'!$B$24)/907185</f>
        <v>1.3133667547308863</v>
      </c>
      <c r="J32" s="229">
        <f>(H32*'T3 Inputs'!$B$21)/907185</f>
        <v>6.5130562450257778E-2</v>
      </c>
      <c r="K32" s="229">
        <f>(H32*'T3 Inputs'!$B$23)/907185</f>
        <v>0.37154297001440628</v>
      </c>
      <c r="L32" s="510">
        <f>(H32*'T3 Inputs'!$B$25)/907185</f>
        <v>2.8442337363598809E-2</v>
      </c>
      <c r="M32" s="511">
        <f t="shared" si="1"/>
        <v>2.0285484962897478</v>
      </c>
      <c r="N32" s="229">
        <f t="shared" si="2"/>
        <v>0.10031078661016962</v>
      </c>
      <c r="O32" s="229">
        <f t="shared" si="3"/>
        <v>0.49929665855641492</v>
      </c>
      <c r="P32" s="510">
        <f t="shared" si="4"/>
        <v>4.9733245159460295E-2</v>
      </c>
    </row>
    <row r="33" spans="1:16" x14ac:dyDescent="0.2">
      <c r="A33" s="226">
        <f t="shared" si="5"/>
        <v>30</v>
      </c>
      <c r="B33" s="183">
        <v>2049</v>
      </c>
      <c r="C33" s="186">
        <f>'T5 Avoided Truck Miles'!F34</f>
        <v>329859.1434008436</v>
      </c>
      <c r="D33" s="229">
        <f>(C33*'T3 Inputs'!$B$19)/907185</f>
        <v>3.3419152510206342</v>
      </c>
      <c r="E33" s="229">
        <f>(C33*'T3 Inputs'!$B$16)/907185</f>
        <v>0.1654413490604274</v>
      </c>
      <c r="F33" s="229">
        <f>(C33*'T3 Inputs'!$B$18)/907185</f>
        <v>0.8708396285708212</v>
      </c>
      <c r="G33" s="510">
        <f>(C33*'T3 Inputs'!$B$20)/907185</f>
        <v>7.8175582523059103E-2</v>
      </c>
      <c r="H33" s="186">
        <f>'T5 Avoided Truck Miles'!G34</f>
        <v>108413.70513107725</v>
      </c>
      <c r="I33" s="229">
        <f>(H33*'T3 Inputs'!$B$24)/907185</f>
        <v>1.3133667547308863</v>
      </c>
      <c r="J33" s="229">
        <f>(H33*'T3 Inputs'!$B$21)/907185</f>
        <v>6.5130562450257778E-2</v>
      </c>
      <c r="K33" s="229">
        <f>(H33*'T3 Inputs'!$B$23)/907185</f>
        <v>0.37154297001440628</v>
      </c>
      <c r="L33" s="510">
        <f>(H33*'T3 Inputs'!$B$25)/907185</f>
        <v>2.8442337363598809E-2</v>
      </c>
      <c r="M33" s="511">
        <f t="shared" si="1"/>
        <v>2.0285484962897478</v>
      </c>
      <c r="N33" s="229">
        <f t="shared" si="2"/>
        <v>0.10031078661016962</v>
      </c>
      <c r="O33" s="229">
        <f t="shared" si="3"/>
        <v>0.49929665855641492</v>
      </c>
      <c r="P33" s="510">
        <f t="shared" si="4"/>
        <v>4.9733245159460295E-2</v>
      </c>
    </row>
    <row r="34" spans="1:16" ht="13.5" thickBot="1" x14ac:dyDescent="0.25">
      <c r="A34" s="593" t="s">
        <v>0</v>
      </c>
      <c r="B34" s="595"/>
      <c r="C34" s="516">
        <f t="shared" ref="C34:P34" si="6">SUM(C3:C33)</f>
        <v>10148288.508682748</v>
      </c>
      <c r="D34" s="512">
        <f t="shared" si="6"/>
        <v>102.81576490275215</v>
      </c>
      <c r="E34" s="512">
        <f t="shared" si="6"/>
        <v>5.0898893516213857</v>
      </c>
      <c r="F34" s="512">
        <f t="shared" si="6"/>
        <v>26.791835158534553</v>
      </c>
      <c r="G34" s="513">
        <f t="shared" si="6"/>
        <v>2.4051125507661495</v>
      </c>
      <c r="H34" s="516">
        <f t="shared" si="6"/>
        <v>3522709.5171383359</v>
      </c>
      <c r="I34" s="512">
        <f t="shared" si="6"/>
        <v>42.122221584089161</v>
      </c>
      <c r="J34" s="512">
        <f t="shared" si="6"/>
        <v>2.0886216552419636</v>
      </c>
      <c r="K34" s="512">
        <f t="shared" si="6"/>
        <v>11.853033631046252</v>
      </c>
      <c r="L34" s="513">
        <f t="shared" si="6"/>
        <v>0.91710924446893705</v>
      </c>
      <c r="M34" s="514">
        <f t="shared" si="6"/>
        <v>60.693543318662861</v>
      </c>
      <c r="N34" s="512">
        <f t="shared" si="6"/>
        <v>3.0012676963794278</v>
      </c>
      <c r="O34" s="512">
        <f t="shared" si="6"/>
        <v>14.938801527488305</v>
      </c>
      <c r="P34" s="513">
        <f t="shared" si="6"/>
        <v>1.4880033062972142</v>
      </c>
    </row>
    <row r="36" spans="1:16" ht="13.5" thickBot="1" x14ac:dyDescent="0.25"/>
    <row r="37" spans="1:16" s="127" customFormat="1" ht="38.25" x14ac:dyDescent="0.2">
      <c r="A37" s="218" t="s">
        <v>130</v>
      </c>
      <c r="B37" s="181" t="s">
        <v>2</v>
      </c>
      <c r="C37" s="185" t="s">
        <v>164</v>
      </c>
      <c r="D37" s="163" t="s">
        <v>360</v>
      </c>
      <c r="E37" s="163" t="s">
        <v>361</v>
      </c>
      <c r="F37" s="163" t="s">
        <v>362</v>
      </c>
      <c r="G37" s="164" t="s">
        <v>363</v>
      </c>
      <c r="H37" s="185" t="s">
        <v>279</v>
      </c>
      <c r="I37" s="163" t="s">
        <v>364</v>
      </c>
      <c r="J37" s="163" t="s">
        <v>365</v>
      </c>
      <c r="K37" s="163" t="s">
        <v>366</v>
      </c>
      <c r="L37" s="164" t="s">
        <v>367</v>
      </c>
      <c r="M37" s="184" t="s">
        <v>368</v>
      </c>
      <c r="N37" s="163" t="s">
        <v>369</v>
      </c>
      <c r="O37" s="163" t="s">
        <v>370</v>
      </c>
      <c r="P37" s="164" t="s">
        <v>371</v>
      </c>
    </row>
    <row r="38" spans="1:16" x14ac:dyDescent="0.2">
      <c r="A38" s="226">
        <v>-1</v>
      </c>
      <c r="B38" s="182">
        <v>2018</v>
      </c>
      <c r="C38" s="281">
        <f>ROUND(C2,-3)</f>
        <v>257000</v>
      </c>
      <c r="D38" s="282">
        <f t="shared" ref="D38:G57" si="7">D2</f>
        <v>2.5996844420136549</v>
      </c>
      <c r="E38" s="276">
        <f t="shared" si="7"/>
        <v>0.12869724960463638</v>
      </c>
      <c r="F38" s="276">
        <f t="shared" si="7"/>
        <v>0.67742837978704207</v>
      </c>
      <c r="G38" s="277">
        <f t="shared" si="7"/>
        <v>6.0812986076916084E-2</v>
      </c>
      <c r="H38" s="275">
        <f t="shared" ref="H38:H70" si="8">ROUND(H2,-3)</f>
        <v>257000</v>
      </c>
      <c r="I38" s="278">
        <f t="shared" ref="I38:P38" si="9">I2</f>
        <v>2.5996844420136549</v>
      </c>
      <c r="J38" s="278">
        <f t="shared" si="9"/>
        <v>0.12869724960463638</v>
      </c>
      <c r="K38" s="278">
        <f t="shared" si="9"/>
        <v>0.67742837978704207</v>
      </c>
      <c r="L38" s="279">
        <f t="shared" si="9"/>
        <v>6.0812986076916084E-2</v>
      </c>
      <c r="M38" s="280">
        <f t="shared" si="9"/>
        <v>0</v>
      </c>
      <c r="N38" s="278">
        <f t="shared" si="9"/>
        <v>0</v>
      </c>
      <c r="O38" s="278">
        <f t="shared" si="9"/>
        <v>0</v>
      </c>
      <c r="P38" s="279">
        <f t="shared" si="9"/>
        <v>0</v>
      </c>
    </row>
    <row r="39" spans="1:16" x14ac:dyDescent="0.2">
      <c r="A39" s="226">
        <f>A38+1</f>
        <v>0</v>
      </c>
      <c r="B39" s="183">
        <v>2019</v>
      </c>
      <c r="C39" s="281">
        <f t="shared" ref="C39:C70" si="10">ROUND(C3,-3)</f>
        <v>279000</v>
      </c>
      <c r="D39" s="282">
        <f t="shared" si="7"/>
        <v>2.8266946753920905</v>
      </c>
      <c r="E39" s="276">
        <f t="shared" si="7"/>
        <v>0.13993537996990546</v>
      </c>
      <c r="F39" s="276">
        <f t="shared" si="7"/>
        <v>0.73658293412730458</v>
      </c>
      <c r="G39" s="277">
        <f t="shared" si="7"/>
        <v>6.6123311414350933E-2</v>
      </c>
      <c r="H39" s="275">
        <f t="shared" si="8"/>
        <v>279000</v>
      </c>
      <c r="I39" s="278">
        <f t="shared" ref="I39:P39" si="11">I3</f>
        <v>2.8266946753920905</v>
      </c>
      <c r="J39" s="278">
        <f t="shared" si="11"/>
        <v>0.13993537996990546</v>
      </c>
      <c r="K39" s="278">
        <f t="shared" si="11"/>
        <v>0.73658293412730458</v>
      </c>
      <c r="L39" s="279">
        <f t="shared" si="11"/>
        <v>6.6123311414350933E-2</v>
      </c>
      <c r="M39" s="280">
        <f t="shared" si="11"/>
        <v>0</v>
      </c>
      <c r="N39" s="278">
        <f t="shared" si="11"/>
        <v>0</v>
      </c>
      <c r="O39" s="278">
        <f t="shared" si="11"/>
        <v>0</v>
      </c>
      <c r="P39" s="279">
        <f t="shared" si="11"/>
        <v>0</v>
      </c>
    </row>
    <row r="40" spans="1:16" x14ac:dyDescent="0.2">
      <c r="A40" s="226">
        <f t="shared" ref="A40:A69" si="12">A39+1</f>
        <v>1</v>
      </c>
      <c r="B40" s="183">
        <v>2020</v>
      </c>
      <c r="C40" s="281">
        <f t="shared" si="10"/>
        <v>303000</v>
      </c>
      <c r="D40" s="282">
        <f t="shared" si="7"/>
        <v>3.0735279477616024</v>
      </c>
      <c r="E40" s="276">
        <f t="shared" si="7"/>
        <v>0.1521548488990892</v>
      </c>
      <c r="F40" s="276">
        <f t="shared" si="7"/>
        <v>0.8009029958534476</v>
      </c>
      <c r="G40" s="277">
        <f t="shared" si="7"/>
        <v>7.1897346183086103E-2</v>
      </c>
      <c r="H40" s="275">
        <f t="shared" si="8"/>
        <v>100000</v>
      </c>
      <c r="I40" s="278">
        <f t="shared" ref="I40:P40" si="13">I4</f>
        <v>1.207891021501375</v>
      </c>
      <c r="J40" s="278">
        <f t="shared" si="13"/>
        <v>5.9899964214581373E-2</v>
      </c>
      <c r="K40" s="278">
        <f t="shared" si="13"/>
        <v>0.34170456650116238</v>
      </c>
      <c r="L40" s="279">
        <f t="shared" si="13"/>
        <v>2.6158149510220857E-2</v>
      </c>
      <c r="M40" s="280">
        <f t="shared" si="13"/>
        <v>1.8656369262602275</v>
      </c>
      <c r="N40" s="278">
        <f t="shared" si="13"/>
        <v>9.2254884684507821E-2</v>
      </c>
      <c r="O40" s="278">
        <f t="shared" si="13"/>
        <v>0.45919842935228522</v>
      </c>
      <c r="P40" s="279">
        <f t="shared" si="13"/>
        <v>4.5739196672865245E-2</v>
      </c>
    </row>
    <row r="41" spans="1:16" x14ac:dyDescent="0.2">
      <c r="A41" s="226">
        <f t="shared" si="12"/>
        <v>2</v>
      </c>
      <c r="B41" s="183">
        <v>2021</v>
      </c>
      <c r="C41" s="283">
        <f t="shared" si="10"/>
        <v>330000</v>
      </c>
      <c r="D41" s="284">
        <f t="shared" si="7"/>
        <v>3.3419152510206342</v>
      </c>
      <c r="E41" s="271">
        <f t="shared" si="7"/>
        <v>0.1654413490604274</v>
      </c>
      <c r="F41" s="271">
        <f t="shared" si="7"/>
        <v>0.8708396285708212</v>
      </c>
      <c r="G41" s="272">
        <f t="shared" si="7"/>
        <v>7.8175582523059103E-2</v>
      </c>
      <c r="H41" s="186">
        <f t="shared" si="8"/>
        <v>108000</v>
      </c>
      <c r="I41" s="265">
        <f t="shared" ref="I41:P41" si="14">I5</f>
        <v>1.3133667547308863</v>
      </c>
      <c r="J41" s="265">
        <f t="shared" si="14"/>
        <v>6.5130562450257778E-2</v>
      </c>
      <c r="K41" s="265">
        <f t="shared" si="14"/>
        <v>0.37154297001440628</v>
      </c>
      <c r="L41" s="266">
        <f t="shared" si="14"/>
        <v>2.8442337363598809E-2</v>
      </c>
      <c r="M41" s="267">
        <f t="shared" si="14"/>
        <v>2.0285484962897478</v>
      </c>
      <c r="N41" s="265">
        <f t="shared" si="14"/>
        <v>0.10031078661016962</v>
      </c>
      <c r="O41" s="265">
        <f t="shared" si="14"/>
        <v>0.49929665855641492</v>
      </c>
      <c r="P41" s="266">
        <f t="shared" si="14"/>
        <v>4.9733245159460295E-2</v>
      </c>
    </row>
    <row r="42" spans="1:16" x14ac:dyDescent="0.2">
      <c r="A42" s="226">
        <f t="shared" si="12"/>
        <v>3</v>
      </c>
      <c r="B42" s="183">
        <v>2022</v>
      </c>
      <c r="C42" s="186">
        <f t="shared" si="10"/>
        <v>330000</v>
      </c>
      <c r="D42" s="271">
        <f t="shared" si="7"/>
        <v>3.3419152510206342</v>
      </c>
      <c r="E42" s="271">
        <f t="shared" si="7"/>
        <v>0.1654413490604274</v>
      </c>
      <c r="F42" s="271">
        <f t="shared" si="7"/>
        <v>0.8708396285708212</v>
      </c>
      <c r="G42" s="272">
        <f t="shared" si="7"/>
        <v>7.8175582523059103E-2</v>
      </c>
      <c r="H42" s="186">
        <f t="shared" si="8"/>
        <v>108000</v>
      </c>
      <c r="I42" s="265">
        <f t="shared" ref="I42:P42" si="15">I6</f>
        <v>1.3133667547308863</v>
      </c>
      <c r="J42" s="265">
        <f t="shared" si="15"/>
        <v>6.5130562450257778E-2</v>
      </c>
      <c r="K42" s="265">
        <f t="shared" si="15"/>
        <v>0.37154297001440628</v>
      </c>
      <c r="L42" s="266">
        <f t="shared" si="15"/>
        <v>2.8442337363598809E-2</v>
      </c>
      <c r="M42" s="267">
        <f t="shared" si="15"/>
        <v>2.0285484962897478</v>
      </c>
      <c r="N42" s="265">
        <f t="shared" si="15"/>
        <v>0.10031078661016962</v>
      </c>
      <c r="O42" s="265">
        <f t="shared" si="15"/>
        <v>0.49929665855641492</v>
      </c>
      <c r="P42" s="266">
        <f t="shared" si="15"/>
        <v>4.9733245159460295E-2</v>
      </c>
    </row>
    <row r="43" spans="1:16" x14ac:dyDescent="0.2">
      <c r="A43" s="226">
        <f t="shared" si="12"/>
        <v>4</v>
      </c>
      <c r="B43" s="183">
        <v>2023</v>
      </c>
      <c r="C43" s="186">
        <f t="shared" si="10"/>
        <v>330000</v>
      </c>
      <c r="D43" s="271">
        <f t="shared" si="7"/>
        <v>3.3419152510206342</v>
      </c>
      <c r="E43" s="271">
        <f t="shared" si="7"/>
        <v>0.1654413490604274</v>
      </c>
      <c r="F43" s="271">
        <f t="shared" si="7"/>
        <v>0.8708396285708212</v>
      </c>
      <c r="G43" s="272">
        <f t="shared" si="7"/>
        <v>7.8175582523059103E-2</v>
      </c>
      <c r="H43" s="186">
        <f t="shared" si="8"/>
        <v>108000</v>
      </c>
      <c r="I43" s="265">
        <f t="shared" ref="I43:P43" si="16">I7</f>
        <v>1.3133667547308863</v>
      </c>
      <c r="J43" s="265">
        <f t="shared" si="16"/>
        <v>6.5130562450257778E-2</v>
      </c>
      <c r="K43" s="265">
        <f t="shared" si="16"/>
        <v>0.37154297001440628</v>
      </c>
      <c r="L43" s="266">
        <f t="shared" si="16"/>
        <v>2.8442337363598809E-2</v>
      </c>
      <c r="M43" s="267">
        <f t="shared" si="16"/>
        <v>2.0285484962897478</v>
      </c>
      <c r="N43" s="265">
        <f t="shared" si="16"/>
        <v>0.10031078661016962</v>
      </c>
      <c r="O43" s="265">
        <f t="shared" si="16"/>
        <v>0.49929665855641492</v>
      </c>
      <c r="P43" s="266">
        <f t="shared" si="16"/>
        <v>4.9733245159460295E-2</v>
      </c>
    </row>
    <row r="44" spans="1:16" x14ac:dyDescent="0.2">
      <c r="A44" s="226">
        <f t="shared" si="12"/>
        <v>5</v>
      </c>
      <c r="B44" s="183">
        <v>2024</v>
      </c>
      <c r="C44" s="186">
        <f t="shared" si="10"/>
        <v>330000</v>
      </c>
      <c r="D44" s="271">
        <f t="shared" si="7"/>
        <v>3.3419152510206342</v>
      </c>
      <c r="E44" s="271">
        <f t="shared" si="7"/>
        <v>0.1654413490604274</v>
      </c>
      <c r="F44" s="271">
        <f t="shared" si="7"/>
        <v>0.8708396285708212</v>
      </c>
      <c r="G44" s="272">
        <f t="shared" si="7"/>
        <v>7.8175582523059103E-2</v>
      </c>
      <c r="H44" s="186">
        <f t="shared" si="8"/>
        <v>108000</v>
      </c>
      <c r="I44" s="265">
        <f t="shared" ref="I44:P44" si="17">I8</f>
        <v>1.3133667547308863</v>
      </c>
      <c r="J44" s="265">
        <f t="shared" si="17"/>
        <v>6.5130562450257778E-2</v>
      </c>
      <c r="K44" s="265">
        <f t="shared" si="17"/>
        <v>0.37154297001440628</v>
      </c>
      <c r="L44" s="266">
        <f t="shared" si="17"/>
        <v>2.8442337363598809E-2</v>
      </c>
      <c r="M44" s="267">
        <f t="shared" si="17"/>
        <v>2.0285484962897478</v>
      </c>
      <c r="N44" s="265">
        <f t="shared" si="17"/>
        <v>0.10031078661016962</v>
      </c>
      <c r="O44" s="265">
        <f t="shared" si="17"/>
        <v>0.49929665855641492</v>
      </c>
      <c r="P44" s="266">
        <f t="shared" si="17"/>
        <v>4.9733245159460295E-2</v>
      </c>
    </row>
    <row r="45" spans="1:16" x14ac:dyDescent="0.2">
      <c r="A45" s="226">
        <f t="shared" si="12"/>
        <v>6</v>
      </c>
      <c r="B45" s="183">
        <v>2025</v>
      </c>
      <c r="C45" s="186">
        <f t="shared" si="10"/>
        <v>330000</v>
      </c>
      <c r="D45" s="271">
        <f t="shared" si="7"/>
        <v>3.3419152510206342</v>
      </c>
      <c r="E45" s="271">
        <f t="shared" si="7"/>
        <v>0.1654413490604274</v>
      </c>
      <c r="F45" s="271">
        <f t="shared" si="7"/>
        <v>0.8708396285708212</v>
      </c>
      <c r="G45" s="272">
        <f t="shared" si="7"/>
        <v>7.8175582523059103E-2</v>
      </c>
      <c r="H45" s="186">
        <f t="shared" si="8"/>
        <v>108000</v>
      </c>
      <c r="I45" s="265">
        <f t="shared" ref="I45:P45" si="18">I9</f>
        <v>1.3133667547308863</v>
      </c>
      <c r="J45" s="265">
        <f t="shared" si="18"/>
        <v>6.5130562450257778E-2</v>
      </c>
      <c r="K45" s="265">
        <f t="shared" si="18"/>
        <v>0.37154297001440628</v>
      </c>
      <c r="L45" s="266">
        <f t="shared" si="18"/>
        <v>2.8442337363598809E-2</v>
      </c>
      <c r="M45" s="267">
        <f t="shared" si="18"/>
        <v>2.0285484962897478</v>
      </c>
      <c r="N45" s="265">
        <f t="shared" si="18"/>
        <v>0.10031078661016962</v>
      </c>
      <c r="O45" s="265">
        <f t="shared" si="18"/>
        <v>0.49929665855641492</v>
      </c>
      <c r="P45" s="266">
        <f t="shared" si="18"/>
        <v>4.9733245159460295E-2</v>
      </c>
    </row>
    <row r="46" spans="1:16" x14ac:dyDescent="0.2">
      <c r="A46" s="226">
        <f t="shared" si="12"/>
        <v>7</v>
      </c>
      <c r="B46" s="183">
        <v>2026</v>
      </c>
      <c r="C46" s="186">
        <f t="shared" si="10"/>
        <v>330000</v>
      </c>
      <c r="D46" s="271">
        <f t="shared" si="7"/>
        <v>3.3419152510206342</v>
      </c>
      <c r="E46" s="271">
        <f t="shared" si="7"/>
        <v>0.1654413490604274</v>
      </c>
      <c r="F46" s="271">
        <f t="shared" si="7"/>
        <v>0.8708396285708212</v>
      </c>
      <c r="G46" s="272">
        <f t="shared" si="7"/>
        <v>7.8175582523059103E-2</v>
      </c>
      <c r="H46" s="186">
        <f t="shared" si="8"/>
        <v>108000</v>
      </c>
      <c r="I46" s="265">
        <f t="shared" ref="I46:P46" si="19">I10</f>
        <v>1.3133667547308863</v>
      </c>
      <c r="J46" s="265">
        <f t="shared" si="19"/>
        <v>6.5130562450257778E-2</v>
      </c>
      <c r="K46" s="265">
        <f t="shared" si="19"/>
        <v>0.37154297001440628</v>
      </c>
      <c r="L46" s="266">
        <f t="shared" si="19"/>
        <v>2.8442337363598809E-2</v>
      </c>
      <c r="M46" s="267">
        <f t="shared" si="19"/>
        <v>2.0285484962897478</v>
      </c>
      <c r="N46" s="265">
        <f t="shared" si="19"/>
        <v>0.10031078661016962</v>
      </c>
      <c r="O46" s="265">
        <f t="shared" si="19"/>
        <v>0.49929665855641492</v>
      </c>
      <c r="P46" s="266">
        <f t="shared" si="19"/>
        <v>4.9733245159460295E-2</v>
      </c>
    </row>
    <row r="47" spans="1:16" x14ac:dyDescent="0.2">
      <c r="A47" s="226">
        <f t="shared" si="12"/>
        <v>8</v>
      </c>
      <c r="B47" s="183">
        <v>2027</v>
      </c>
      <c r="C47" s="186">
        <f t="shared" si="10"/>
        <v>330000</v>
      </c>
      <c r="D47" s="271">
        <f t="shared" si="7"/>
        <v>3.3419152510206342</v>
      </c>
      <c r="E47" s="271">
        <f t="shared" si="7"/>
        <v>0.1654413490604274</v>
      </c>
      <c r="F47" s="271">
        <f t="shared" si="7"/>
        <v>0.8708396285708212</v>
      </c>
      <c r="G47" s="272">
        <f t="shared" si="7"/>
        <v>7.8175582523059103E-2</v>
      </c>
      <c r="H47" s="186">
        <f t="shared" si="8"/>
        <v>108000</v>
      </c>
      <c r="I47" s="265">
        <f t="shared" ref="I47:P47" si="20">I11</f>
        <v>1.3133667547308863</v>
      </c>
      <c r="J47" s="265">
        <f t="shared" si="20"/>
        <v>6.5130562450257778E-2</v>
      </c>
      <c r="K47" s="265">
        <f t="shared" si="20"/>
        <v>0.37154297001440628</v>
      </c>
      <c r="L47" s="266">
        <f t="shared" si="20"/>
        <v>2.8442337363598809E-2</v>
      </c>
      <c r="M47" s="267">
        <f t="shared" si="20"/>
        <v>2.0285484962897478</v>
      </c>
      <c r="N47" s="265">
        <f t="shared" si="20"/>
        <v>0.10031078661016962</v>
      </c>
      <c r="O47" s="265">
        <f t="shared" si="20"/>
        <v>0.49929665855641492</v>
      </c>
      <c r="P47" s="266">
        <f t="shared" si="20"/>
        <v>4.9733245159460295E-2</v>
      </c>
    </row>
    <row r="48" spans="1:16" x14ac:dyDescent="0.2">
      <c r="A48" s="226">
        <f t="shared" si="12"/>
        <v>9</v>
      </c>
      <c r="B48" s="183">
        <v>2028</v>
      </c>
      <c r="C48" s="186">
        <f t="shared" si="10"/>
        <v>330000</v>
      </c>
      <c r="D48" s="271">
        <f t="shared" si="7"/>
        <v>3.3419152510206342</v>
      </c>
      <c r="E48" s="271">
        <f t="shared" si="7"/>
        <v>0.1654413490604274</v>
      </c>
      <c r="F48" s="271">
        <f t="shared" si="7"/>
        <v>0.8708396285708212</v>
      </c>
      <c r="G48" s="272">
        <f t="shared" si="7"/>
        <v>7.8175582523059103E-2</v>
      </c>
      <c r="H48" s="186">
        <f t="shared" si="8"/>
        <v>108000</v>
      </c>
      <c r="I48" s="265">
        <f t="shared" ref="I48:P48" si="21">I12</f>
        <v>1.3133667547308863</v>
      </c>
      <c r="J48" s="265">
        <f t="shared" si="21"/>
        <v>6.5130562450257778E-2</v>
      </c>
      <c r="K48" s="265">
        <f t="shared" si="21"/>
        <v>0.37154297001440628</v>
      </c>
      <c r="L48" s="266">
        <f t="shared" si="21"/>
        <v>2.8442337363598809E-2</v>
      </c>
      <c r="M48" s="267">
        <f t="shared" si="21"/>
        <v>2.0285484962897478</v>
      </c>
      <c r="N48" s="265">
        <f t="shared" si="21"/>
        <v>0.10031078661016962</v>
      </c>
      <c r="O48" s="265">
        <f t="shared" si="21"/>
        <v>0.49929665855641492</v>
      </c>
      <c r="P48" s="266">
        <f t="shared" si="21"/>
        <v>4.9733245159460295E-2</v>
      </c>
    </row>
    <row r="49" spans="1:16" x14ac:dyDescent="0.2">
      <c r="A49" s="226">
        <f t="shared" si="12"/>
        <v>10</v>
      </c>
      <c r="B49" s="183">
        <v>2029</v>
      </c>
      <c r="C49" s="186">
        <f t="shared" si="10"/>
        <v>330000</v>
      </c>
      <c r="D49" s="271">
        <f t="shared" si="7"/>
        <v>3.3419152510206342</v>
      </c>
      <c r="E49" s="271">
        <f t="shared" si="7"/>
        <v>0.1654413490604274</v>
      </c>
      <c r="F49" s="271">
        <f t="shared" si="7"/>
        <v>0.8708396285708212</v>
      </c>
      <c r="G49" s="272">
        <f t="shared" si="7"/>
        <v>7.8175582523059103E-2</v>
      </c>
      <c r="H49" s="186">
        <f t="shared" si="8"/>
        <v>108000</v>
      </c>
      <c r="I49" s="265">
        <f t="shared" ref="I49:P49" si="22">I13</f>
        <v>1.3133667547308863</v>
      </c>
      <c r="J49" s="265">
        <f t="shared" si="22"/>
        <v>6.5130562450257778E-2</v>
      </c>
      <c r="K49" s="265">
        <f t="shared" si="22"/>
        <v>0.37154297001440628</v>
      </c>
      <c r="L49" s="266">
        <f t="shared" si="22"/>
        <v>2.8442337363598809E-2</v>
      </c>
      <c r="M49" s="267">
        <f t="shared" si="22"/>
        <v>2.0285484962897478</v>
      </c>
      <c r="N49" s="265">
        <f t="shared" si="22"/>
        <v>0.10031078661016962</v>
      </c>
      <c r="O49" s="265">
        <f t="shared" si="22"/>
        <v>0.49929665855641492</v>
      </c>
      <c r="P49" s="266">
        <f t="shared" si="22"/>
        <v>4.9733245159460295E-2</v>
      </c>
    </row>
    <row r="50" spans="1:16" x14ac:dyDescent="0.2">
      <c r="A50" s="226">
        <f t="shared" si="12"/>
        <v>11</v>
      </c>
      <c r="B50" s="183">
        <v>2030</v>
      </c>
      <c r="C50" s="186">
        <f t="shared" si="10"/>
        <v>330000</v>
      </c>
      <c r="D50" s="271">
        <f t="shared" si="7"/>
        <v>3.3419152510206342</v>
      </c>
      <c r="E50" s="271">
        <f t="shared" si="7"/>
        <v>0.1654413490604274</v>
      </c>
      <c r="F50" s="271">
        <f t="shared" si="7"/>
        <v>0.8708396285708212</v>
      </c>
      <c r="G50" s="272">
        <f t="shared" si="7"/>
        <v>7.8175582523059103E-2</v>
      </c>
      <c r="H50" s="186">
        <f t="shared" si="8"/>
        <v>108000</v>
      </c>
      <c r="I50" s="265">
        <f t="shared" ref="I50:P50" si="23">I14</f>
        <v>1.3133667547308863</v>
      </c>
      <c r="J50" s="265">
        <f t="shared" si="23"/>
        <v>6.5130562450257778E-2</v>
      </c>
      <c r="K50" s="265">
        <f t="shared" si="23"/>
        <v>0.37154297001440628</v>
      </c>
      <c r="L50" s="266">
        <f t="shared" si="23"/>
        <v>2.8442337363598809E-2</v>
      </c>
      <c r="M50" s="267">
        <f t="shared" si="23"/>
        <v>2.0285484962897478</v>
      </c>
      <c r="N50" s="265">
        <f t="shared" si="23"/>
        <v>0.10031078661016962</v>
      </c>
      <c r="O50" s="265">
        <f t="shared" si="23"/>
        <v>0.49929665855641492</v>
      </c>
      <c r="P50" s="266">
        <f t="shared" si="23"/>
        <v>4.9733245159460295E-2</v>
      </c>
    </row>
    <row r="51" spans="1:16" x14ac:dyDescent="0.2">
      <c r="A51" s="226">
        <f t="shared" si="12"/>
        <v>12</v>
      </c>
      <c r="B51" s="183">
        <v>2031</v>
      </c>
      <c r="C51" s="186">
        <f t="shared" si="10"/>
        <v>330000</v>
      </c>
      <c r="D51" s="271">
        <f t="shared" si="7"/>
        <v>3.3419152510206342</v>
      </c>
      <c r="E51" s="271">
        <f t="shared" si="7"/>
        <v>0.1654413490604274</v>
      </c>
      <c r="F51" s="271">
        <f t="shared" si="7"/>
        <v>0.8708396285708212</v>
      </c>
      <c r="G51" s="272">
        <f t="shared" si="7"/>
        <v>7.8175582523059103E-2</v>
      </c>
      <c r="H51" s="186">
        <f t="shared" si="8"/>
        <v>108000</v>
      </c>
      <c r="I51" s="265">
        <f t="shared" ref="I51:P51" si="24">I15</f>
        <v>1.3133667547308863</v>
      </c>
      <c r="J51" s="265">
        <f t="shared" si="24"/>
        <v>6.5130562450257778E-2</v>
      </c>
      <c r="K51" s="265">
        <f t="shared" si="24"/>
        <v>0.37154297001440628</v>
      </c>
      <c r="L51" s="266">
        <f t="shared" si="24"/>
        <v>2.8442337363598809E-2</v>
      </c>
      <c r="M51" s="267">
        <f t="shared" si="24"/>
        <v>2.0285484962897478</v>
      </c>
      <c r="N51" s="265">
        <f t="shared" si="24"/>
        <v>0.10031078661016962</v>
      </c>
      <c r="O51" s="265">
        <f t="shared" si="24"/>
        <v>0.49929665855641492</v>
      </c>
      <c r="P51" s="266">
        <f t="shared" si="24"/>
        <v>4.9733245159460295E-2</v>
      </c>
    </row>
    <row r="52" spans="1:16" x14ac:dyDescent="0.2">
      <c r="A52" s="226">
        <f t="shared" si="12"/>
        <v>13</v>
      </c>
      <c r="B52" s="183">
        <v>2032</v>
      </c>
      <c r="C52" s="186">
        <f t="shared" si="10"/>
        <v>330000</v>
      </c>
      <c r="D52" s="271">
        <f t="shared" si="7"/>
        <v>3.3419152510206342</v>
      </c>
      <c r="E52" s="271">
        <f t="shared" si="7"/>
        <v>0.1654413490604274</v>
      </c>
      <c r="F52" s="271">
        <f t="shared" si="7"/>
        <v>0.8708396285708212</v>
      </c>
      <c r="G52" s="272">
        <f t="shared" si="7"/>
        <v>7.8175582523059103E-2</v>
      </c>
      <c r="H52" s="186">
        <f t="shared" si="8"/>
        <v>108000</v>
      </c>
      <c r="I52" s="265">
        <f t="shared" ref="I52:P52" si="25">I16</f>
        <v>1.3133667547308863</v>
      </c>
      <c r="J52" s="265">
        <f t="shared" si="25"/>
        <v>6.5130562450257778E-2</v>
      </c>
      <c r="K52" s="265">
        <f t="shared" si="25"/>
        <v>0.37154297001440628</v>
      </c>
      <c r="L52" s="266">
        <f t="shared" si="25"/>
        <v>2.8442337363598809E-2</v>
      </c>
      <c r="M52" s="267">
        <f t="shared" si="25"/>
        <v>2.0285484962897478</v>
      </c>
      <c r="N52" s="265">
        <f t="shared" si="25"/>
        <v>0.10031078661016962</v>
      </c>
      <c r="O52" s="265">
        <f t="shared" si="25"/>
        <v>0.49929665855641492</v>
      </c>
      <c r="P52" s="266">
        <f t="shared" si="25"/>
        <v>4.9733245159460295E-2</v>
      </c>
    </row>
    <row r="53" spans="1:16" x14ac:dyDescent="0.2">
      <c r="A53" s="226">
        <f t="shared" si="12"/>
        <v>14</v>
      </c>
      <c r="B53" s="183">
        <v>2033</v>
      </c>
      <c r="C53" s="186">
        <f t="shared" si="10"/>
        <v>330000</v>
      </c>
      <c r="D53" s="271">
        <f t="shared" si="7"/>
        <v>3.3419152510206342</v>
      </c>
      <c r="E53" s="271">
        <f t="shared" si="7"/>
        <v>0.1654413490604274</v>
      </c>
      <c r="F53" s="271">
        <f t="shared" si="7"/>
        <v>0.8708396285708212</v>
      </c>
      <c r="G53" s="272">
        <f t="shared" si="7"/>
        <v>7.8175582523059103E-2</v>
      </c>
      <c r="H53" s="186">
        <f t="shared" si="8"/>
        <v>108000</v>
      </c>
      <c r="I53" s="265">
        <f t="shared" ref="I53:P53" si="26">I17</f>
        <v>1.3133667547308863</v>
      </c>
      <c r="J53" s="265">
        <f t="shared" si="26"/>
        <v>6.5130562450257778E-2</v>
      </c>
      <c r="K53" s="265">
        <f t="shared" si="26"/>
        <v>0.37154297001440628</v>
      </c>
      <c r="L53" s="266">
        <f t="shared" si="26"/>
        <v>2.8442337363598809E-2</v>
      </c>
      <c r="M53" s="267">
        <f t="shared" si="26"/>
        <v>2.0285484962897478</v>
      </c>
      <c r="N53" s="265">
        <f t="shared" si="26"/>
        <v>0.10031078661016962</v>
      </c>
      <c r="O53" s="265">
        <f t="shared" si="26"/>
        <v>0.49929665855641492</v>
      </c>
      <c r="P53" s="266">
        <f t="shared" si="26"/>
        <v>4.9733245159460295E-2</v>
      </c>
    </row>
    <row r="54" spans="1:16" x14ac:dyDescent="0.2">
      <c r="A54" s="226">
        <f t="shared" si="12"/>
        <v>15</v>
      </c>
      <c r="B54" s="183">
        <v>2034</v>
      </c>
      <c r="C54" s="186">
        <f t="shared" si="10"/>
        <v>330000</v>
      </c>
      <c r="D54" s="271">
        <f t="shared" si="7"/>
        <v>3.3419152510206342</v>
      </c>
      <c r="E54" s="271">
        <f t="shared" si="7"/>
        <v>0.1654413490604274</v>
      </c>
      <c r="F54" s="271">
        <f t="shared" si="7"/>
        <v>0.8708396285708212</v>
      </c>
      <c r="G54" s="272">
        <f t="shared" si="7"/>
        <v>7.8175582523059103E-2</v>
      </c>
      <c r="H54" s="186">
        <f t="shared" si="8"/>
        <v>108000</v>
      </c>
      <c r="I54" s="265">
        <f t="shared" ref="I54:P54" si="27">I18</f>
        <v>1.3133667547308863</v>
      </c>
      <c r="J54" s="265">
        <f t="shared" si="27"/>
        <v>6.5130562450257778E-2</v>
      </c>
      <c r="K54" s="265">
        <f t="shared" si="27"/>
        <v>0.37154297001440628</v>
      </c>
      <c r="L54" s="266">
        <f t="shared" si="27"/>
        <v>2.8442337363598809E-2</v>
      </c>
      <c r="M54" s="267">
        <f t="shared" si="27"/>
        <v>2.0285484962897478</v>
      </c>
      <c r="N54" s="265">
        <f t="shared" si="27"/>
        <v>0.10031078661016962</v>
      </c>
      <c r="O54" s="265">
        <f t="shared" si="27"/>
        <v>0.49929665855641492</v>
      </c>
      <c r="P54" s="266">
        <f t="shared" si="27"/>
        <v>4.9733245159460295E-2</v>
      </c>
    </row>
    <row r="55" spans="1:16" x14ac:dyDescent="0.2">
      <c r="A55" s="226">
        <f t="shared" si="12"/>
        <v>16</v>
      </c>
      <c r="B55" s="183">
        <v>2035</v>
      </c>
      <c r="C55" s="186">
        <f t="shared" si="10"/>
        <v>330000</v>
      </c>
      <c r="D55" s="271">
        <f t="shared" si="7"/>
        <v>3.3419152510206342</v>
      </c>
      <c r="E55" s="271">
        <f t="shared" si="7"/>
        <v>0.1654413490604274</v>
      </c>
      <c r="F55" s="271">
        <f t="shared" si="7"/>
        <v>0.8708396285708212</v>
      </c>
      <c r="G55" s="272">
        <f t="shared" si="7"/>
        <v>7.8175582523059103E-2</v>
      </c>
      <c r="H55" s="186">
        <f t="shared" si="8"/>
        <v>108000</v>
      </c>
      <c r="I55" s="265">
        <f t="shared" ref="I55:P55" si="28">I19</f>
        <v>1.3133667547308863</v>
      </c>
      <c r="J55" s="265">
        <f t="shared" si="28"/>
        <v>6.5130562450257778E-2</v>
      </c>
      <c r="K55" s="265">
        <f t="shared" si="28"/>
        <v>0.37154297001440628</v>
      </c>
      <c r="L55" s="266">
        <f t="shared" si="28"/>
        <v>2.8442337363598809E-2</v>
      </c>
      <c r="M55" s="267">
        <f t="shared" si="28"/>
        <v>2.0285484962897478</v>
      </c>
      <c r="N55" s="265">
        <f t="shared" si="28"/>
        <v>0.10031078661016962</v>
      </c>
      <c r="O55" s="265">
        <f t="shared" si="28"/>
        <v>0.49929665855641492</v>
      </c>
      <c r="P55" s="266">
        <f t="shared" si="28"/>
        <v>4.9733245159460295E-2</v>
      </c>
    </row>
    <row r="56" spans="1:16" x14ac:dyDescent="0.2">
      <c r="A56" s="226">
        <f t="shared" si="12"/>
        <v>17</v>
      </c>
      <c r="B56" s="183">
        <v>2036</v>
      </c>
      <c r="C56" s="186">
        <f t="shared" si="10"/>
        <v>330000</v>
      </c>
      <c r="D56" s="271">
        <f t="shared" si="7"/>
        <v>3.3419152510206342</v>
      </c>
      <c r="E56" s="271">
        <f t="shared" si="7"/>
        <v>0.1654413490604274</v>
      </c>
      <c r="F56" s="271">
        <f t="shared" si="7"/>
        <v>0.8708396285708212</v>
      </c>
      <c r="G56" s="272">
        <f t="shared" si="7"/>
        <v>7.8175582523059103E-2</v>
      </c>
      <c r="H56" s="186">
        <f t="shared" si="8"/>
        <v>108000</v>
      </c>
      <c r="I56" s="265">
        <f t="shared" ref="I56:P56" si="29">I20</f>
        <v>1.3133667547308863</v>
      </c>
      <c r="J56" s="265">
        <f t="shared" si="29"/>
        <v>6.5130562450257778E-2</v>
      </c>
      <c r="K56" s="265">
        <f t="shared" si="29"/>
        <v>0.37154297001440628</v>
      </c>
      <c r="L56" s="266">
        <f t="shared" si="29"/>
        <v>2.8442337363598809E-2</v>
      </c>
      <c r="M56" s="267">
        <f t="shared" si="29"/>
        <v>2.0285484962897478</v>
      </c>
      <c r="N56" s="265">
        <f t="shared" si="29"/>
        <v>0.10031078661016962</v>
      </c>
      <c r="O56" s="265">
        <f t="shared" si="29"/>
        <v>0.49929665855641492</v>
      </c>
      <c r="P56" s="266">
        <f t="shared" si="29"/>
        <v>4.9733245159460295E-2</v>
      </c>
    </row>
    <row r="57" spans="1:16" x14ac:dyDescent="0.2">
      <c r="A57" s="226">
        <f t="shared" si="12"/>
        <v>18</v>
      </c>
      <c r="B57" s="183">
        <v>2037</v>
      </c>
      <c r="C57" s="186">
        <f t="shared" si="10"/>
        <v>330000</v>
      </c>
      <c r="D57" s="271">
        <f t="shared" si="7"/>
        <v>3.3419152510206342</v>
      </c>
      <c r="E57" s="271">
        <f t="shared" si="7"/>
        <v>0.1654413490604274</v>
      </c>
      <c r="F57" s="271">
        <f t="shared" si="7"/>
        <v>0.8708396285708212</v>
      </c>
      <c r="G57" s="272">
        <f t="shared" si="7"/>
        <v>7.8175582523059103E-2</v>
      </c>
      <c r="H57" s="186">
        <f t="shared" si="8"/>
        <v>108000</v>
      </c>
      <c r="I57" s="265">
        <f t="shared" ref="I57:P57" si="30">I21</f>
        <v>1.3133667547308863</v>
      </c>
      <c r="J57" s="265">
        <f t="shared" si="30"/>
        <v>6.5130562450257778E-2</v>
      </c>
      <c r="K57" s="265">
        <f t="shared" si="30"/>
        <v>0.37154297001440628</v>
      </c>
      <c r="L57" s="266">
        <f t="shared" si="30"/>
        <v>2.8442337363598809E-2</v>
      </c>
      <c r="M57" s="267">
        <f t="shared" si="30"/>
        <v>2.0285484962897478</v>
      </c>
      <c r="N57" s="265">
        <f t="shared" si="30"/>
        <v>0.10031078661016962</v>
      </c>
      <c r="O57" s="265">
        <f t="shared" si="30"/>
        <v>0.49929665855641492</v>
      </c>
      <c r="P57" s="266">
        <f t="shared" si="30"/>
        <v>4.9733245159460295E-2</v>
      </c>
    </row>
    <row r="58" spans="1:16" x14ac:dyDescent="0.2">
      <c r="A58" s="226">
        <f t="shared" si="12"/>
        <v>19</v>
      </c>
      <c r="B58" s="183">
        <v>2038</v>
      </c>
      <c r="C58" s="186">
        <f t="shared" si="10"/>
        <v>330000</v>
      </c>
      <c r="D58" s="271">
        <f t="shared" ref="D58:G70" si="31">D22</f>
        <v>3.3419152510206342</v>
      </c>
      <c r="E58" s="271">
        <f t="shared" si="31"/>
        <v>0.1654413490604274</v>
      </c>
      <c r="F58" s="271">
        <f t="shared" si="31"/>
        <v>0.8708396285708212</v>
      </c>
      <c r="G58" s="272">
        <f t="shared" si="31"/>
        <v>7.8175582523059103E-2</v>
      </c>
      <c r="H58" s="186">
        <f t="shared" si="8"/>
        <v>108000</v>
      </c>
      <c r="I58" s="265">
        <f t="shared" ref="I58:P58" si="32">I22</f>
        <v>1.3133667547308863</v>
      </c>
      <c r="J58" s="265">
        <f t="shared" si="32"/>
        <v>6.5130562450257778E-2</v>
      </c>
      <c r="K58" s="265">
        <f t="shared" si="32"/>
        <v>0.37154297001440628</v>
      </c>
      <c r="L58" s="266">
        <f t="shared" si="32"/>
        <v>2.8442337363598809E-2</v>
      </c>
      <c r="M58" s="267">
        <f t="shared" si="32"/>
        <v>2.0285484962897478</v>
      </c>
      <c r="N58" s="265">
        <f t="shared" si="32"/>
        <v>0.10031078661016962</v>
      </c>
      <c r="O58" s="265">
        <f t="shared" si="32"/>
        <v>0.49929665855641492</v>
      </c>
      <c r="P58" s="266">
        <f t="shared" si="32"/>
        <v>4.9733245159460295E-2</v>
      </c>
    </row>
    <row r="59" spans="1:16" x14ac:dyDescent="0.2">
      <c r="A59" s="226">
        <f t="shared" si="12"/>
        <v>20</v>
      </c>
      <c r="B59" s="183">
        <v>2039</v>
      </c>
      <c r="C59" s="186">
        <f t="shared" si="10"/>
        <v>330000</v>
      </c>
      <c r="D59" s="271">
        <f t="shared" si="31"/>
        <v>3.3419152510206342</v>
      </c>
      <c r="E59" s="271">
        <f t="shared" si="31"/>
        <v>0.1654413490604274</v>
      </c>
      <c r="F59" s="271">
        <f t="shared" si="31"/>
        <v>0.8708396285708212</v>
      </c>
      <c r="G59" s="272">
        <f t="shared" si="31"/>
        <v>7.8175582523059103E-2</v>
      </c>
      <c r="H59" s="186">
        <f t="shared" si="8"/>
        <v>108000</v>
      </c>
      <c r="I59" s="265">
        <f t="shared" ref="I59:P59" si="33">I23</f>
        <v>1.3133667547308863</v>
      </c>
      <c r="J59" s="265">
        <f t="shared" si="33"/>
        <v>6.5130562450257778E-2</v>
      </c>
      <c r="K59" s="265">
        <f t="shared" si="33"/>
        <v>0.37154297001440628</v>
      </c>
      <c r="L59" s="266">
        <f t="shared" si="33"/>
        <v>2.8442337363598809E-2</v>
      </c>
      <c r="M59" s="267">
        <f t="shared" si="33"/>
        <v>2.0285484962897478</v>
      </c>
      <c r="N59" s="265">
        <f t="shared" si="33"/>
        <v>0.10031078661016962</v>
      </c>
      <c r="O59" s="265">
        <f t="shared" si="33"/>
        <v>0.49929665855641492</v>
      </c>
      <c r="P59" s="266">
        <f t="shared" si="33"/>
        <v>4.9733245159460295E-2</v>
      </c>
    </row>
    <row r="60" spans="1:16" x14ac:dyDescent="0.2">
      <c r="A60" s="226">
        <f t="shared" si="12"/>
        <v>21</v>
      </c>
      <c r="B60" s="183">
        <v>2040</v>
      </c>
      <c r="C60" s="186">
        <f t="shared" si="10"/>
        <v>330000</v>
      </c>
      <c r="D60" s="271">
        <f t="shared" si="31"/>
        <v>3.3419152510206342</v>
      </c>
      <c r="E60" s="271">
        <f t="shared" si="31"/>
        <v>0.1654413490604274</v>
      </c>
      <c r="F60" s="271">
        <f t="shared" si="31"/>
        <v>0.8708396285708212</v>
      </c>
      <c r="G60" s="272">
        <f t="shared" si="31"/>
        <v>7.8175582523059103E-2</v>
      </c>
      <c r="H60" s="186">
        <f t="shared" si="8"/>
        <v>108000</v>
      </c>
      <c r="I60" s="265">
        <f t="shared" ref="I60:P60" si="34">I24</f>
        <v>1.3133667547308863</v>
      </c>
      <c r="J60" s="265">
        <f t="shared" si="34"/>
        <v>6.5130562450257778E-2</v>
      </c>
      <c r="K60" s="265">
        <f t="shared" si="34"/>
        <v>0.37154297001440628</v>
      </c>
      <c r="L60" s="266">
        <f t="shared" si="34"/>
        <v>2.8442337363598809E-2</v>
      </c>
      <c r="M60" s="267">
        <f t="shared" si="34"/>
        <v>2.0285484962897478</v>
      </c>
      <c r="N60" s="265">
        <f t="shared" si="34"/>
        <v>0.10031078661016962</v>
      </c>
      <c r="O60" s="265">
        <f t="shared" si="34"/>
        <v>0.49929665855641492</v>
      </c>
      <c r="P60" s="266">
        <f t="shared" si="34"/>
        <v>4.9733245159460295E-2</v>
      </c>
    </row>
    <row r="61" spans="1:16" x14ac:dyDescent="0.2">
      <c r="A61" s="226">
        <f t="shared" si="12"/>
        <v>22</v>
      </c>
      <c r="B61" s="183">
        <v>2041</v>
      </c>
      <c r="C61" s="186">
        <f t="shared" si="10"/>
        <v>330000</v>
      </c>
      <c r="D61" s="271">
        <f t="shared" si="31"/>
        <v>3.3419152510206342</v>
      </c>
      <c r="E61" s="271">
        <f t="shared" si="31"/>
        <v>0.1654413490604274</v>
      </c>
      <c r="F61" s="271">
        <f t="shared" si="31"/>
        <v>0.8708396285708212</v>
      </c>
      <c r="G61" s="272">
        <f t="shared" si="31"/>
        <v>7.8175582523059103E-2</v>
      </c>
      <c r="H61" s="186">
        <f t="shared" si="8"/>
        <v>108000</v>
      </c>
      <c r="I61" s="265">
        <f t="shared" ref="I61:P61" si="35">I25</f>
        <v>1.3133667547308863</v>
      </c>
      <c r="J61" s="265">
        <f t="shared" si="35"/>
        <v>6.5130562450257778E-2</v>
      </c>
      <c r="K61" s="265">
        <f t="shared" si="35"/>
        <v>0.37154297001440628</v>
      </c>
      <c r="L61" s="266">
        <f t="shared" si="35"/>
        <v>2.8442337363598809E-2</v>
      </c>
      <c r="M61" s="267">
        <f t="shared" si="35"/>
        <v>2.0285484962897478</v>
      </c>
      <c r="N61" s="265">
        <f t="shared" si="35"/>
        <v>0.10031078661016962</v>
      </c>
      <c r="O61" s="265">
        <f t="shared" si="35"/>
        <v>0.49929665855641492</v>
      </c>
      <c r="P61" s="266">
        <f t="shared" si="35"/>
        <v>4.9733245159460295E-2</v>
      </c>
    </row>
    <row r="62" spans="1:16" x14ac:dyDescent="0.2">
      <c r="A62" s="226">
        <f t="shared" si="12"/>
        <v>23</v>
      </c>
      <c r="B62" s="183">
        <v>2042</v>
      </c>
      <c r="C62" s="186">
        <f t="shared" si="10"/>
        <v>330000</v>
      </c>
      <c r="D62" s="271">
        <f t="shared" si="31"/>
        <v>3.3419152510206342</v>
      </c>
      <c r="E62" s="271">
        <f t="shared" si="31"/>
        <v>0.1654413490604274</v>
      </c>
      <c r="F62" s="271">
        <f t="shared" si="31"/>
        <v>0.8708396285708212</v>
      </c>
      <c r="G62" s="272">
        <f t="shared" si="31"/>
        <v>7.8175582523059103E-2</v>
      </c>
      <c r="H62" s="186">
        <f t="shared" si="8"/>
        <v>108000</v>
      </c>
      <c r="I62" s="265">
        <f t="shared" ref="I62:P62" si="36">I26</f>
        <v>1.3133667547308863</v>
      </c>
      <c r="J62" s="265">
        <f t="shared" si="36"/>
        <v>6.5130562450257778E-2</v>
      </c>
      <c r="K62" s="265">
        <f t="shared" si="36"/>
        <v>0.37154297001440628</v>
      </c>
      <c r="L62" s="266">
        <f t="shared" si="36"/>
        <v>2.8442337363598809E-2</v>
      </c>
      <c r="M62" s="267">
        <f t="shared" si="36"/>
        <v>2.0285484962897478</v>
      </c>
      <c r="N62" s="265">
        <f t="shared" si="36"/>
        <v>0.10031078661016962</v>
      </c>
      <c r="O62" s="265">
        <f t="shared" si="36"/>
        <v>0.49929665855641492</v>
      </c>
      <c r="P62" s="266">
        <f t="shared" si="36"/>
        <v>4.9733245159460295E-2</v>
      </c>
    </row>
    <row r="63" spans="1:16" x14ac:dyDescent="0.2">
      <c r="A63" s="226">
        <f t="shared" si="12"/>
        <v>24</v>
      </c>
      <c r="B63" s="183">
        <v>2043</v>
      </c>
      <c r="C63" s="186">
        <f t="shared" si="10"/>
        <v>330000</v>
      </c>
      <c r="D63" s="271">
        <f t="shared" si="31"/>
        <v>3.3419152510206342</v>
      </c>
      <c r="E63" s="271">
        <f t="shared" si="31"/>
        <v>0.1654413490604274</v>
      </c>
      <c r="F63" s="271">
        <f t="shared" si="31"/>
        <v>0.8708396285708212</v>
      </c>
      <c r="G63" s="272">
        <f t="shared" si="31"/>
        <v>7.8175582523059103E-2</v>
      </c>
      <c r="H63" s="186">
        <f t="shared" si="8"/>
        <v>108000</v>
      </c>
      <c r="I63" s="265">
        <f t="shared" ref="I63:P63" si="37">I27</f>
        <v>1.3133667547308863</v>
      </c>
      <c r="J63" s="265">
        <f t="shared" si="37"/>
        <v>6.5130562450257778E-2</v>
      </c>
      <c r="K63" s="265">
        <f t="shared" si="37"/>
        <v>0.37154297001440628</v>
      </c>
      <c r="L63" s="266">
        <f t="shared" si="37"/>
        <v>2.8442337363598809E-2</v>
      </c>
      <c r="M63" s="267">
        <f t="shared" si="37"/>
        <v>2.0285484962897478</v>
      </c>
      <c r="N63" s="265">
        <f t="shared" si="37"/>
        <v>0.10031078661016962</v>
      </c>
      <c r="O63" s="265">
        <f t="shared" si="37"/>
        <v>0.49929665855641492</v>
      </c>
      <c r="P63" s="266">
        <f t="shared" si="37"/>
        <v>4.9733245159460295E-2</v>
      </c>
    </row>
    <row r="64" spans="1:16" x14ac:dyDescent="0.2">
      <c r="A64" s="226">
        <f t="shared" si="12"/>
        <v>25</v>
      </c>
      <c r="B64" s="183">
        <v>2044</v>
      </c>
      <c r="C64" s="186">
        <f t="shared" si="10"/>
        <v>330000</v>
      </c>
      <c r="D64" s="271">
        <f t="shared" si="31"/>
        <v>3.3419152510206342</v>
      </c>
      <c r="E64" s="271">
        <f t="shared" si="31"/>
        <v>0.1654413490604274</v>
      </c>
      <c r="F64" s="271">
        <f t="shared" si="31"/>
        <v>0.8708396285708212</v>
      </c>
      <c r="G64" s="272">
        <f t="shared" si="31"/>
        <v>7.8175582523059103E-2</v>
      </c>
      <c r="H64" s="186">
        <f t="shared" si="8"/>
        <v>108000</v>
      </c>
      <c r="I64" s="265">
        <f t="shared" ref="I64:P64" si="38">I28</f>
        <v>1.3133667547308863</v>
      </c>
      <c r="J64" s="265">
        <f t="shared" si="38"/>
        <v>6.5130562450257778E-2</v>
      </c>
      <c r="K64" s="265">
        <f t="shared" si="38"/>
        <v>0.37154297001440628</v>
      </c>
      <c r="L64" s="266">
        <f t="shared" si="38"/>
        <v>2.8442337363598809E-2</v>
      </c>
      <c r="M64" s="267">
        <f t="shared" si="38"/>
        <v>2.0285484962897478</v>
      </c>
      <c r="N64" s="265">
        <f t="shared" si="38"/>
        <v>0.10031078661016962</v>
      </c>
      <c r="O64" s="265">
        <f t="shared" si="38"/>
        <v>0.49929665855641492</v>
      </c>
      <c r="P64" s="266">
        <f t="shared" si="38"/>
        <v>4.9733245159460295E-2</v>
      </c>
    </row>
    <row r="65" spans="1:16" x14ac:dyDescent="0.2">
      <c r="A65" s="226">
        <f t="shared" si="12"/>
        <v>26</v>
      </c>
      <c r="B65" s="183">
        <v>2045</v>
      </c>
      <c r="C65" s="186">
        <f t="shared" si="10"/>
        <v>330000</v>
      </c>
      <c r="D65" s="271">
        <f t="shared" si="31"/>
        <v>3.3419152510206342</v>
      </c>
      <c r="E65" s="271">
        <f t="shared" si="31"/>
        <v>0.1654413490604274</v>
      </c>
      <c r="F65" s="271">
        <f t="shared" si="31"/>
        <v>0.8708396285708212</v>
      </c>
      <c r="G65" s="272">
        <f t="shared" si="31"/>
        <v>7.8175582523059103E-2</v>
      </c>
      <c r="H65" s="186">
        <f t="shared" si="8"/>
        <v>108000</v>
      </c>
      <c r="I65" s="265">
        <f t="shared" ref="I65:P65" si="39">I29</f>
        <v>1.3133667547308863</v>
      </c>
      <c r="J65" s="265">
        <f t="shared" si="39"/>
        <v>6.5130562450257778E-2</v>
      </c>
      <c r="K65" s="265">
        <f t="shared" si="39"/>
        <v>0.37154297001440628</v>
      </c>
      <c r="L65" s="266">
        <f t="shared" si="39"/>
        <v>2.8442337363598809E-2</v>
      </c>
      <c r="M65" s="267">
        <f t="shared" si="39"/>
        <v>2.0285484962897478</v>
      </c>
      <c r="N65" s="265">
        <f t="shared" si="39"/>
        <v>0.10031078661016962</v>
      </c>
      <c r="O65" s="265">
        <f t="shared" si="39"/>
        <v>0.49929665855641492</v>
      </c>
      <c r="P65" s="266">
        <f t="shared" si="39"/>
        <v>4.9733245159460295E-2</v>
      </c>
    </row>
    <row r="66" spans="1:16" x14ac:dyDescent="0.2">
      <c r="A66" s="226">
        <f t="shared" si="12"/>
        <v>27</v>
      </c>
      <c r="B66" s="183">
        <v>2046</v>
      </c>
      <c r="C66" s="186">
        <f t="shared" si="10"/>
        <v>330000</v>
      </c>
      <c r="D66" s="271">
        <f t="shared" si="31"/>
        <v>3.3419152510206342</v>
      </c>
      <c r="E66" s="271">
        <f t="shared" si="31"/>
        <v>0.1654413490604274</v>
      </c>
      <c r="F66" s="271">
        <f t="shared" si="31"/>
        <v>0.8708396285708212</v>
      </c>
      <c r="G66" s="272">
        <f t="shared" si="31"/>
        <v>7.8175582523059103E-2</v>
      </c>
      <c r="H66" s="186">
        <f t="shared" si="8"/>
        <v>108000</v>
      </c>
      <c r="I66" s="265">
        <f t="shared" ref="I66:P66" si="40">I30</f>
        <v>1.3133667547308863</v>
      </c>
      <c r="J66" s="265">
        <f t="shared" si="40"/>
        <v>6.5130562450257778E-2</v>
      </c>
      <c r="K66" s="265">
        <f t="shared" si="40"/>
        <v>0.37154297001440628</v>
      </c>
      <c r="L66" s="266">
        <f t="shared" si="40"/>
        <v>2.8442337363598809E-2</v>
      </c>
      <c r="M66" s="267">
        <f t="shared" si="40"/>
        <v>2.0285484962897478</v>
      </c>
      <c r="N66" s="265">
        <f t="shared" si="40"/>
        <v>0.10031078661016962</v>
      </c>
      <c r="O66" s="265">
        <f t="shared" si="40"/>
        <v>0.49929665855641492</v>
      </c>
      <c r="P66" s="266">
        <f t="shared" si="40"/>
        <v>4.9733245159460295E-2</v>
      </c>
    </row>
    <row r="67" spans="1:16" x14ac:dyDescent="0.2">
      <c r="A67" s="226">
        <f t="shared" si="12"/>
        <v>28</v>
      </c>
      <c r="B67" s="183">
        <v>2047</v>
      </c>
      <c r="C67" s="186">
        <f t="shared" si="10"/>
        <v>330000</v>
      </c>
      <c r="D67" s="271">
        <f t="shared" si="31"/>
        <v>3.3419152510206342</v>
      </c>
      <c r="E67" s="271">
        <f t="shared" si="31"/>
        <v>0.1654413490604274</v>
      </c>
      <c r="F67" s="271">
        <f t="shared" si="31"/>
        <v>0.8708396285708212</v>
      </c>
      <c r="G67" s="272">
        <f t="shared" si="31"/>
        <v>7.8175582523059103E-2</v>
      </c>
      <c r="H67" s="186">
        <f t="shared" si="8"/>
        <v>108000</v>
      </c>
      <c r="I67" s="265">
        <f t="shared" ref="I67:P67" si="41">I31</f>
        <v>1.3133667547308863</v>
      </c>
      <c r="J67" s="265">
        <f t="shared" si="41"/>
        <v>6.5130562450257778E-2</v>
      </c>
      <c r="K67" s="265">
        <f t="shared" si="41"/>
        <v>0.37154297001440628</v>
      </c>
      <c r="L67" s="266">
        <f t="shared" si="41"/>
        <v>2.8442337363598809E-2</v>
      </c>
      <c r="M67" s="267">
        <f t="shared" si="41"/>
        <v>2.0285484962897478</v>
      </c>
      <c r="N67" s="265">
        <f t="shared" si="41"/>
        <v>0.10031078661016962</v>
      </c>
      <c r="O67" s="265">
        <f t="shared" si="41"/>
        <v>0.49929665855641492</v>
      </c>
      <c r="P67" s="266">
        <f t="shared" si="41"/>
        <v>4.9733245159460295E-2</v>
      </c>
    </row>
    <row r="68" spans="1:16" x14ac:dyDescent="0.2">
      <c r="A68" s="226">
        <f t="shared" si="12"/>
        <v>29</v>
      </c>
      <c r="B68" s="183">
        <v>2048</v>
      </c>
      <c r="C68" s="186">
        <f t="shared" si="10"/>
        <v>330000</v>
      </c>
      <c r="D68" s="271">
        <f t="shared" si="31"/>
        <v>3.3419152510206342</v>
      </c>
      <c r="E68" s="271">
        <f t="shared" si="31"/>
        <v>0.1654413490604274</v>
      </c>
      <c r="F68" s="271">
        <f t="shared" si="31"/>
        <v>0.8708396285708212</v>
      </c>
      <c r="G68" s="272">
        <f t="shared" si="31"/>
        <v>7.8175582523059103E-2</v>
      </c>
      <c r="H68" s="186">
        <f t="shared" si="8"/>
        <v>108000</v>
      </c>
      <c r="I68" s="265">
        <f t="shared" ref="I68:P68" si="42">I32</f>
        <v>1.3133667547308863</v>
      </c>
      <c r="J68" s="265">
        <f t="shared" si="42"/>
        <v>6.5130562450257778E-2</v>
      </c>
      <c r="K68" s="265">
        <f t="shared" si="42"/>
        <v>0.37154297001440628</v>
      </c>
      <c r="L68" s="266">
        <f t="shared" si="42"/>
        <v>2.8442337363598809E-2</v>
      </c>
      <c r="M68" s="267">
        <f t="shared" si="42"/>
        <v>2.0285484962897478</v>
      </c>
      <c r="N68" s="265">
        <f t="shared" si="42"/>
        <v>0.10031078661016962</v>
      </c>
      <c r="O68" s="265">
        <f t="shared" si="42"/>
        <v>0.49929665855641492</v>
      </c>
      <c r="P68" s="266">
        <f t="shared" si="42"/>
        <v>4.9733245159460295E-2</v>
      </c>
    </row>
    <row r="69" spans="1:16" x14ac:dyDescent="0.2">
      <c r="A69" s="226">
        <f t="shared" si="12"/>
        <v>30</v>
      </c>
      <c r="B69" s="183">
        <v>2049</v>
      </c>
      <c r="C69" s="186">
        <f t="shared" si="10"/>
        <v>330000</v>
      </c>
      <c r="D69" s="271">
        <f t="shared" si="31"/>
        <v>3.3419152510206342</v>
      </c>
      <c r="E69" s="271">
        <f t="shared" si="31"/>
        <v>0.1654413490604274</v>
      </c>
      <c r="F69" s="271">
        <f t="shared" si="31"/>
        <v>0.8708396285708212</v>
      </c>
      <c r="G69" s="272">
        <f t="shared" si="31"/>
        <v>7.8175582523059103E-2</v>
      </c>
      <c r="H69" s="186">
        <f t="shared" si="8"/>
        <v>108000</v>
      </c>
      <c r="I69" s="265">
        <f t="shared" ref="I69:P69" si="43">I33</f>
        <v>1.3133667547308863</v>
      </c>
      <c r="J69" s="265">
        <f t="shared" si="43"/>
        <v>6.5130562450257778E-2</v>
      </c>
      <c r="K69" s="265">
        <f t="shared" si="43"/>
        <v>0.37154297001440628</v>
      </c>
      <c r="L69" s="266">
        <f t="shared" si="43"/>
        <v>2.8442337363598809E-2</v>
      </c>
      <c r="M69" s="267">
        <f t="shared" si="43"/>
        <v>2.0285484962897478</v>
      </c>
      <c r="N69" s="265">
        <f t="shared" si="43"/>
        <v>0.10031078661016962</v>
      </c>
      <c r="O69" s="265">
        <f t="shared" si="43"/>
        <v>0.49929665855641492</v>
      </c>
      <c r="P69" s="266">
        <f t="shared" si="43"/>
        <v>4.9733245159460295E-2</v>
      </c>
    </row>
    <row r="70" spans="1:16" ht="13.5" thickBot="1" x14ac:dyDescent="0.25">
      <c r="A70" s="593" t="s">
        <v>0</v>
      </c>
      <c r="B70" s="595"/>
      <c r="C70" s="180">
        <f t="shared" si="10"/>
        <v>10148000</v>
      </c>
      <c r="D70" s="273">
        <f t="shared" si="31"/>
        <v>102.81576490275215</v>
      </c>
      <c r="E70" s="273">
        <f t="shared" si="31"/>
        <v>5.0898893516213857</v>
      </c>
      <c r="F70" s="273">
        <f t="shared" si="31"/>
        <v>26.791835158534553</v>
      </c>
      <c r="G70" s="274">
        <f t="shared" si="31"/>
        <v>2.4051125507661495</v>
      </c>
      <c r="H70" s="180">
        <f t="shared" si="8"/>
        <v>3523000</v>
      </c>
      <c r="I70" s="268">
        <f t="shared" ref="I70:P70" si="44">I34</f>
        <v>42.122221584089161</v>
      </c>
      <c r="J70" s="268">
        <f t="shared" si="44"/>
        <v>2.0886216552419636</v>
      </c>
      <c r="K70" s="268">
        <f t="shared" si="44"/>
        <v>11.853033631046252</v>
      </c>
      <c r="L70" s="269">
        <f t="shared" si="44"/>
        <v>0.91710924446893705</v>
      </c>
      <c r="M70" s="270">
        <f t="shared" si="44"/>
        <v>60.693543318662861</v>
      </c>
      <c r="N70" s="268">
        <f t="shared" si="44"/>
        <v>3.0012676963794278</v>
      </c>
      <c r="O70" s="268">
        <f t="shared" si="44"/>
        <v>14.938801527488305</v>
      </c>
      <c r="P70" s="269">
        <f t="shared" si="44"/>
        <v>1.4880033062972142</v>
      </c>
    </row>
  </sheetData>
  <mergeCells count="2">
    <mergeCell ref="A34:B34"/>
    <mergeCell ref="A70:B70"/>
  </mergeCells>
  <pageMargins left="0.5" right="0.5" top="0.75" bottom="0.75" header="0.3" footer="0.3"/>
  <pageSetup orientation="portrait" verticalDpi="0" r:id="rId1"/>
  <rowBreaks count="1" manualBreakCount="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selection activeCell="A2" sqref="A2"/>
    </sheetView>
  </sheetViews>
  <sheetFormatPr defaultRowHeight="12.75" x14ac:dyDescent="0.2"/>
  <cols>
    <col min="1" max="2" width="9.7109375" style="234" customWidth="1"/>
    <col min="3" max="3" width="12.7109375" style="1" customWidth="1"/>
    <col min="4" max="4" width="12.7109375" style="294" customWidth="1"/>
    <col min="5" max="6" width="12.7109375" style="285" customWidth="1"/>
    <col min="7" max="16384" width="9.140625" style="1"/>
  </cols>
  <sheetData>
    <row r="1" spans="1:6" ht="13.5" thickBot="1" x14ac:dyDescent="0.25"/>
    <row r="2" spans="1:6" s="219" customFormat="1" ht="51" x14ac:dyDescent="0.2">
      <c r="A2" s="218" t="s">
        <v>130</v>
      </c>
      <c r="B2" s="163" t="s">
        <v>2</v>
      </c>
      <c r="C2" s="163" t="s">
        <v>159</v>
      </c>
      <c r="D2" s="295" t="s">
        <v>162</v>
      </c>
      <c r="E2" s="286" t="s">
        <v>160</v>
      </c>
      <c r="F2" s="287" t="s">
        <v>161</v>
      </c>
    </row>
    <row r="3" spans="1:6" ht="12.75" customHeight="1" x14ac:dyDescent="0.2">
      <c r="A3" s="226">
        <v>-1</v>
      </c>
      <c r="B3" s="227">
        <v>2018</v>
      </c>
      <c r="C3" s="37">
        <f>'T5 Avoided Truck Miles'!H3</f>
        <v>0</v>
      </c>
      <c r="D3" s="296">
        <f>'T3 Inputs'!$B$14</f>
        <v>4.6903482866043615E-2</v>
      </c>
      <c r="E3" s="288">
        <f>C3*D3</f>
        <v>0</v>
      </c>
      <c r="F3" s="289">
        <f>E3/((1+'T3 Inputs'!$B$4)^(B3-2016))</f>
        <v>0</v>
      </c>
    </row>
    <row r="4" spans="1:6" ht="12.75" customHeight="1" x14ac:dyDescent="0.2">
      <c r="A4" s="226">
        <f>A3+1</f>
        <v>0</v>
      </c>
      <c r="B4" s="227">
        <f>B3+1</f>
        <v>2019</v>
      </c>
      <c r="C4" s="37">
        <f>'T5 Avoided Truck Miles'!H4</f>
        <v>0</v>
      </c>
      <c r="D4" s="296">
        <f>'T3 Inputs'!$B$14</f>
        <v>4.6903482866043615E-2</v>
      </c>
      <c r="E4" s="288">
        <f t="shared" ref="E4:E33" si="0">C4*D4</f>
        <v>0</v>
      </c>
      <c r="F4" s="289">
        <f>E4/((1+'T3 Inputs'!$B$4)^(B4-2016))</f>
        <v>0</v>
      </c>
    </row>
    <row r="5" spans="1:6" x14ac:dyDescent="0.2">
      <c r="A5" s="226">
        <f t="shared" ref="A5:A31" si="1">A4+1</f>
        <v>1</v>
      </c>
      <c r="B5" s="227">
        <f t="shared" ref="B5:B31" si="2">B4+1</f>
        <v>2020</v>
      </c>
      <c r="C5" s="37">
        <f>'T5 Avoided Truck Miles'!H5</f>
        <v>203661.28172118665</v>
      </c>
      <c r="D5" s="296">
        <f>'T3 Inputs'!$B$14</f>
        <v>4.6903482866043615E-2</v>
      </c>
      <c r="E5" s="288">
        <f t="shared" si="0"/>
        <v>9552.4234376861605</v>
      </c>
      <c r="F5" s="289">
        <f>E5/((1+'T3 Inputs'!$B$4)^(B5-2016))</f>
        <v>7287.4981040613329</v>
      </c>
    </row>
    <row r="6" spans="1:6" x14ac:dyDescent="0.2">
      <c r="A6" s="226">
        <f t="shared" si="1"/>
        <v>2</v>
      </c>
      <c r="B6" s="227">
        <f t="shared" si="2"/>
        <v>2021</v>
      </c>
      <c r="C6" s="37">
        <f>'T5 Avoided Truck Miles'!H6</f>
        <v>221445.43826976634</v>
      </c>
      <c r="D6" s="296">
        <f>'T3 Inputs'!$B$14</f>
        <v>4.6903482866043615E-2</v>
      </c>
      <c r="E6" s="288">
        <f t="shared" si="0"/>
        <v>10386.562319649505</v>
      </c>
      <c r="F6" s="289">
        <f>E6/((1+'T3 Inputs'!$B$4)^(B6-2016))</f>
        <v>7405.4753862559292</v>
      </c>
    </row>
    <row r="7" spans="1:6" x14ac:dyDescent="0.2">
      <c r="A7" s="226">
        <f t="shared" si="1"/>
        <v>3</v>
      </c>
      <c r="B7" s="227">
        <f t="shared" si="2"/>
        <v>2022</v>
      </c>
      <c r="C7" s="37">
        <f>'T5 Avoided Truck Miles'!H7</f>
        <v>221445.43826976634</v>
      </c>
      <c r="D7" s="296">
        <f>'T3 Inputs'!$B$14</f>
        <v>4.6903482866043615E-2</v>
      </c>
      <c r="E7" s="288">
        <f t="shared" si="0"/>
        <v>10386.562319649505</v>
      </c>
      <c r="F7" s="289">
        <f>E7/((1+'T3 Inputs'!$B$4)^(B7-2016))</f>
        <v>6921.0050338840465</v>
      </c>
    </row>
    <row r="8" spans="1:6" x14ac:dyDescent="0.2">
      <c r="A8" s="226">
        <f t="shared" si="1"/>
        <v>4</v>
      </c>
      <c r="B8" s="227">
        <f t="shared" si="2"/>
        <v>2023</v>
      </c>
      <c r="C8" s="37">
        <f>'T5 Avoided Truck Miles'!H8</f>
        <v>221445.43826976634</v>
      </c>
      <c r="D8" s="296">
        <f>'T3 Inputs'!$B$14</f>
        <v>4.6903482866043615E-2</v>
      </c>
      <c r="E8" s="288">
        <f t="shared" si="0"/>
        <v>10386.562319649505</v>
      </c>
      <c r="F8" s="289">
        <f>E8/((1+'T3 Inputs'!$B$4)^(B8-2016))</f>
        <v>6468.2290036299491</v>
      </c>
    </row>
    <row r="9" spans="1:6" x14ac:dyDescent="0.2">
      <c r="A9" s="226">
        <f t="shared" si="1"/>
        <v>5</v>
      </c>
      <c r="B9" s="227">
        <f t="shared" si="2"/>
        <v>2024</v>
      </c>
      <c r="C9" s="37">
        <f>'T5 Avoided Truck Miles'!H9</f>
        <v>221445.43826976634</v>
      </c>
      <c r="D9" s="296">
        <f>'T3 Inputs'!$B$14</f>
        <v>4.6903482866043615E-2</v>
      </c>
      <c r="E9" s="288">
        <f t="shared" si="0"/>
        <v>10386.562319649505</v>
      </c>
      <c r="F9" s="289">
        <f>E9/((1+'T3 Inputs'!$B$4)^(B9-2016))</f>
        <v>6045.0738351681775</v>
      </c>
    </row>
    <row r="10" spans="1:6" x14ac:dyDescent="0.2">
      <c r="A10" s="226">
        <f t="shared" si="1"/>
        <v>6</v>
      </c>
      <c r="B10" s="227">
        <f t="shared" si="2"/>
        <v>2025</v>
      </c>
      <c r="C10" s="37">
        <f>'T5 Avoided Truck Miles'!H10</f>
        <v>221445.43826976634</v>
      </c>
      <c r="D10" s="296">
        <f>'T3 Inputs'!$B$14</f>
        <v>4.6903482866043615E-2</v>
      </c>
      <c r="E10" s="288">
        <f t="shared" si="0"/>
        <v>10386.562319649505</v>
      </c>
      <c r="F10" s="289">
        <f>E10/((1+'T3 Inputs'!$B$4)^(B10-2016))</f>
        <v>5649.6017151104452</v>
      </c>
    </row>
    <row r="11" spans="1:6" x14ac:dyDescent="0.2">
      <c r="A11" s="226">
        <f t="shared" si="1"/>
        <v>7</v>
      </c>
      <c r="B11" s="227">
        <f t="shared" si="2"/>
        <v>2026</v>
      </c>
      <c r="C11" s="37">
        <f>'T5 Avoided Truck Miles'!H11</f>
        <v>221445.43826976634</v>
      </c>
      <c r="D11" s="296">
        <f>'T3 Inputs'!$B$14</f>
        <v>4.6903482866043615E-2</v>
      </c>
      <c r="E11" s="288">
        <f t="shared" si="0"/>
        <v>10386.562319649505</v>
      </c>
      <c r="F11" s="289">
        <f>E11/((1+'T3 Inputs'!$B$4)^(B11-2016))</f>
        <v>5280.0016029069584</v>
      </c>
    </row>
    <row r="12" spans="1:6" x14ac:dyDescent="0.2">
      <c r="A12" s="226">
        <f t="shared" si="1"/>
        <v>8</v>
      </c>
      <c r="B12" s="227">
        <f t="shared" si="2"/>
        <v>2027</v>
      </c>
      <c r="C12" s="37">
        <f>'T5 Avoided Truck Miles'!H12</f>
        <v>221445.43826976634</v>
      </c>
      <c r="D12" s="296">
        <f>'T3 Inputs'!$B$14</f>
        <v>4.6903482866043615E-2</v>
      </c>
      <c r="E12" s="288">
        <f t="shared" si="0"/>
        <v>10386.562319649505</v>
      </c>
      <c r="F12" s="289">
        <f>E12/((1+'T3 Inputs'!$B$4)^(B12-2016))</f>
        <v>4934.5809372962221</v>
      </c>
    </row>
    <row r="13" spans="1:6" x14ac:dyDescent="0.2">
      <c r="A13" s="226">
        <f t="shared" si="1"/>
        <v>9</v>
      </c>
      <c r="B13" s="227">
        <f t="shared" si="2"/>
        <v>2028</v>
      </c>
      <c r="C13" s="37">
        <f>'T5 Avoided Truck Miles'!H13</f>
        <v>221445.43826976634</v>
      </c>
      <c r="D13" s="296">
        <f>'T3 Inputs'!$B$14</f>
        <v>4.6903482866043615E-2</v>
      </c>
      <c r="E13" s="288">
        <f t="shared" si="0"/>
        <v>10386.562319649505</v>
      </c>
      <c r="F13" s="289">
        <f>E13/((1+'T3 Inputs'!$B$4)^(B13-2016))</f>
        <v>4611.7578853235727</v>
      </c>
    </row>
    <row r="14" spans="1:6" x14ac:dyDescent="0.2">
      <c r="A14" s="226">
        <f t="shared" si="1"/>
        <v>10</v>
      </c>
      <c r="B14" s="227">
        <f t="shared" si="2"/>
        <v>2029</v>
      </c>
      <c r="C14" s="37">
        <f>'T5 Avoided Truck Miles'!H14</f>
        <v>221445.43826976634</v>
      </c>
      <c r="D14" s="296">
        <f>'T3 Inputs'!$B$14</f>
        <v>4.6903482866043615E-2</v>
      </c>
      <c r="E14" s="288">
        <f t="shared" si="0"/>
        <v>10386.562319649505</v>
      </c>
      <c r="F14" s="289">
        <f>E14/((1+'T3 Inputs'!$B$4)^(B14-2016))</f>
        <v>4310.0540984332456</v>
      </c>
    </row>
    <row r="15" spans="1:6" x14ac:dyDescent="0.2">
      <c r="A15" s="226">
        <f t="shared" si="1"/>
        <v>11</v>
      </c>
      <c r="B15" s="227">
        <f t="shared" si="2"/>
        <v>2030</v>
      </c>
      <c r="C15" s="37">
        <f>'T5 Avoided Truck Miles'!H15</f>
        <v>221445.43826976634</v>
      </c>
      <c r="D15" s="296">
        <f>'T3 Inputs'!$B$14</f>
        <v>4.6903482866043615E-2</v>
      </c>
      <c r="E15" s="288">
        <f t="shared" si="0"/>
        <v>10386.562319649505</v>
      </c>
      <c r="F15" s="289">
        <f>E15/((1+'T3 Inputs'!$B$4)^(B15-2016))</f>
        <v>4028.0879424609775</v>
      </c>
    </row>
    <row r="16" spans="1:6" x14ac:dyDescent="0.2">
      <c r="A16" s="226">
        <f t="shared" si="1"/>
        <v>12</v>
      </c>
      <c r="B16" s="227">
        <f t="shared" si="2"/>
        <v>2031</v>
      </c>
      <c r="C16" s="37">
        <f>'T5 Avoided Truck Miles'!H16</f>
        <v>221445.43826976634</v>
      </c>
      <c r="D16" s="296">
        <f>'T3 Inputs'!$B$14</f>
        <v>4.6903482866043615E-2</v>
      </c>
      <c r="E16" s="288">
        <f t="shared" si="0"/>
        <v>10386.562319649505</v>
      </c>
      <c r="F16" s="289">
        <f>E16/((1+'T3 Inputs'!$B$4)^(B16-2016))</f>
        <v>3764.5681705242773</v>
      </c>
    </row>
    <row r="17" spans="1:6" x14ac:dyDescent="0.2">
      <c r="A17" s="226">
        <f t="shared" si="1"/>
        <v>13</v>
      </c>
      <c r="B17" s="227">
        <f t="shared" si="2"/>
        <v>2032</v>
      </c>
      <c r="C17" s="37">
        <f>'T5 Avoided Truck Miles'!H17</f>
        <v>221445.43826976634</v>
      </c>
      <c r="D17" s="296">
        <f>'T3 Inputs'!$B$14</f>
        <v>4.6903482866043615E-2</v>
      </c>
      <c r="E17" s="288">
        <f t="shared" si="0"/>
        <v>10386.562319649505</v>
      </c>
      <c r="F17" s="289">
        <f>E17/((1+'T3 Inputs'!$B$4)^(B17-2016))</f>
        <v>3518.2880098357737</v>
      </c>
    </row>
    <row r="18" spans="1:6" x14ac:dyDescent="0.2">
      <c r="A18" s="226">
        <f t="shared" si="1"/>
        <v>14</v>
      </c>
      <c r="B18" s="227">
        <f t="shared" si="2"/>
        <v>2033</v>
      </c>
      <c r="C18" s="37">
        <f>'T5 Avoided Truck Miles'!H18</f>
        <v>221445.43826976634</v>
      </c>
      <c r="D18" s="296">
        <f>'T3 Inputs'!$B$14</f>
        <v>4.6903482866043615E-2</v>
      </c>
      <c r="E18" s="288">
        <f t="shared" si="0"/>
        <v>10386.562319649505</v>
      </c>
      <c r="F18" s="289">
        <f>E18/((1+'T3 Inputs'!$B$4)^(B18-2016))</f>
        <v>3288.119635360536</v>
      </c>
    </row>
    <row r="19" spans="1:6" x14ac:dyDescent="0.2">
      <c r="A19" s="226">
        <f t="shared" si="1"/>
        <v>15</v>
      </c>
      <c r="B19" s="227">
        <f t="shared" si="2"/>
        <v>2034</v>
      </c>
      <c r="C19" s="37">
        <f>'T5 Avoided Truck Miles'!H19</f>
        <v>221445.43826976634</v>
      </c>
      <c r="D19" s="296">
        <f>'T3 Inputs'!$B$14</f>
        <v>4.6903482866043615E-2</v>
      </c>
      <c r="E19" s="288">
        <f t="shared" si="0"/>
        <v>10386.562319649505</v>
      </c>
      <c r="F19" s="289">
        <f>E19/((1+'T3 Inputs'!$B$4)^(B19-2016))</f>
        <v>3073.009005009847</v>
      </c>
    </row>
    <row r="20" spans="1:6" x14ac:dyDescent="0.2">
      <c r="A20" s="226">
        <f t="shared" si="1"/>
        <v>16</v>
      </c>
      <c r="B20" s="227">
        <f t="shared" si="2"/>
        <v>2035</v>
      </c>
      <c r="C20" s="37">
        <f>'T5 Avoided Truck Miles'!H20</f>
        <v>221445.43826976634</v>
      </c>
      <c r="D20" s="296">
        <f>'T3 Inputs'!$B$14</f>
        <v>4.6903482866043615E-2</v>
      </c>
      <c r="E20" s="288">
        <f t="shared" si="0"/>
        <v>10386.562319649505</v>
      </c>
      <c r="F20" s="289">
        <f>E20/((1+'T3 Inputs'!$B$4)^(B20-2016))</f>
        <v>2871.971032719483</v>
      </c>
    </row>
    <row r="21" spans="1:6" x14ac:dyDescent="0.2">
      <c r="A21" s="226">
        <f t="shared" si="1"/>
        <v>17</v>
      </c>
      <c r="B21" s="227">
        <f t="shared" si="2"/>
        <v>2036</v>
      </c>
      <c r="C21" s="37">
        <f>'T5 Avoided Truck Miles'!H21</f>
        <v>221445.43826976634</v>
      </c>
      <c r="D21" s="296">
        <f>'T3 Inputs'!$B$14</f>
        <v>4.6903482866043615E-2</v>
      </c>
      <c r="E21" s="288">
        <f t="shared" si="0"/>
        <v>10386.562319649505</v>
      </c>
      <c r="F21" s="289">
        <f>E21/((1+'T3 Inputs'!$B$4)^(B21-2016))</f>
        <v>2684.0850773079283</v>
      </c>
    </row>
    <row r="22" spans="1:6" x14ac:dyDescent="0.2">
      <c r="A22" s="226">
        <f t="shared" si="1"/>
        <v>18</v>
      </c>
      <c r="B22" s="227">
        <f t="shared" si="2"/>
        <v>2037</v>
      </c>
      <c r="C22" s="37">
        <f>'T5 Avoided Truck Miles'!H22</f>
        <v>221445.43826976634</v>
      </c>
      <c r="D22" s="296">
        <f>'T3 Inputs'!$B$14</f>
        <v>4.6903482866043615E-2</v>
      </c>
      <c r="E22" s="288">
        <f t="shared" si="0"/>
        <v>10386.562319649505</v>
      </c>
      <c r="F22" s="289">
        <f>E22/((1+'T3 Inputs'!$B$4)^(B22-2016))</f>
        <v>2508.4907264560075</v>
      </c>
    </row>
    <row r="23" spans="1:6" x14ac:dyDescent="0.2">
      <c r="A23" s="226">
        <f t="shared" si="1"/>
        <v>19</v>
      </c>
      <c r="B23" s="227">
        <f t="shared" si="2"/>
        <v>2038</v>
      </c>
      <c r="C23" s="37">
        <f>'T5 Avoided Truck Miles'!H23</f>
        <v>221445.43826976634</v>
      </c>
      <c r="D23" s="296">
        <f>'T3 Inputs'!$B$14</f>
        <v>4.6903482866043615E-2</v>
      </c>
      <c r="E23" s="288">
        <f t="shared" si="0"/>
        <v>10386.562319649505</v>
      </c>
      <c r="F23" s="289">
        <f>E23/((1+'T3 Inputs'!$B$4)^(B23-2016))</f>
        <v>2344.3838565009414</v>
      </c>
    </row>
    <row r="24" spans="1:6" x14ac:dyDescent="0.2">
      <c r="A24" s="226">
        <f t="shared" si="1"/>
        <v>20</v>
      </c>
      <c r="B24" s="227">
        <f t="shared" si="2"/>
        <v>2039</v>
      </c>
      <c r="C24" s="37">
        <f>'T5 Avoided Truck Miles'!H24</f>
        <v>221445.43826976634</v>
      </c>
      <c r="D24" s="296">
        <f>'T3 Inputs'!$B$14</f>
        <v>4.6903482866043615E-2</v>
      </c>
      <c r="E24" s="288">
        <f t="shared" si="0"/>
        <v>10386.562319649505</v>
      </c>
      <c r="F24" s="289">
        <f>E24/((1+'T3 Inputs'!$B$4)^(B24-2016))</f>
        <v>2191.0129500008798</v>
      </c>
    </row>
    <row r="25" spans="1:6" x14ac:dyDescent="0.2">
      <c r="A25" s="226">
        <f t="shared" si="1"/>
        <v>21</v>
      </c>
      <c r="B25" s="227">
        <f t="shared" si="2"/>
        <v>2040</v>
      </c>
      <c r="C25" s="37">
        <f>'T5 Avoided Truck Miles'!H25</f>
        <v>221445.43826976634</v>
      </c>
      <c r="D25" s="296">
        <f>'T3 Inputs'!$B$14</f>
        <v>4.6903482866043615E-2</v>
      </c>
      <c r="E25" s="288">
        <f t="shared" si="0"/>
        <v>10386.562319649505</v>
      </c>
      <c r="F25" s="289">
        <f>E25/((1+'T3 Inputs'!$B$4)^(B25-2016))</f>
        <v>2047.6756542064297</v>
      </c>
    </row>
    <row r="26" spans="1:6" x14ac:dyDescent="0.2">
      <c r="A26" s="226">
        <f t="shared" si="1"/>
        <v>22</v>
      </c>
      <c r="B26" s="227">
        <f t="shared" si="2"/>
        <v>2041</v>
      </c>
      <c r="C26" s="37">
        <f>'T5 Avoided Truck Miles'!H26</f>
        <v>221445.43826976634</v>
      </c>
      <c r="D26" s="296">
        <f>'T3 Inputs'!$B$14</f>
        <v>4.6903482866043615E-2</v>
      </c>
      <c r="E26" s="288">
        <f t="shared" si="0"/>
        <v>10386.562319649505</v>
      </c>
      <c r="F26" s="289">
        <f>E26/((1+'T3 Inputs'!$B$4)^(B26-2016))</f>
        <v>1913.7155646789063</v>
      </c>
    </row>
    <row r="27" spans="1:6" x14ac:dyDescent="0.2">
      <c r="A27" s="226">
        <f t="shared" si="1"/>
        <v>23</v>
      </c>
      <c r="B27" s="227">
        <f t="shared" si="2"/>
        <v>2042</v>
      </c>
      <c r="C27" s="37">
        <f>'T5 Avoided Truck Miles'!H27</f>
        <v>221445.43826976634</v>
      </c>
      <c r="D27" s="296">
        <f>'T3 Inputs'!$B$14</f>
        <v>4.6903482866043615E-2</v>
      </c>
      <c r="E27" s="288">
        <f t="shared" si="0"/>
        <v>10386.562319649505</v>
      </c>
      <c r="F27" s="289">
        <f>E27/((1+'T3 Inputs'!$B$4)^(B27-2016))</f>
        <v>1788.5192193260807</v>
      </c>
    </row>
    <row r="28" spans="1:6" x14ac:dyDescent="0.2">
      <c r="A28" s="226">
        <f t="shared" si="1"/>
        <v>24</v>
      </c>
      <c r="B28" s="227">
        <f t="shared" si="2"/>
        <v>2043</v>
      </c>
      <c r="C28" s="37">
        <f>'T5 Avoided Truck Miles'!H28</f>
        <v>221445.43826976634</v>
      </c>
      <c r="D28" s="296">
        <f>'T3 Inputs'!$B$14</f>
        <v>4.6903482866043615E-2</v>
      </c>
      <c r="E28" s="288">
        <f t="shared" si="0"/>
        <v>10386.562319649505</v>
      </c>
      <c r="F28" s="289">
        <f>E28/((1+'T3 Inputs'!$B$4)^(B28-2016))</f>
        <v>1671.5132890897946</v>
      </c>
    </row>
    <row r="29" spans="1:6" x14ac:dyDescent="0.2">
      <c r="A29" s="226">
        <f t="shared" si="1"/>
        <v>25</v>
      </c>
      <c r="B29" s="227">
        <f t="shared" si="2"/>
        <v>2044</v>
      </c>
      <c r="C29" s="37">
        <f>'T5 Avoided Truck Miles'!H29</f>
        <v>221445.43826976634</v>
      </c>
      <c r="D29" s="296">
        <f>'T3 Inputs'!$B$14</f>
        <v>4.6903482866043615E-2</v>
      </c>
      <c r="E29" s="288">
        <f t="shared" si="0"/>
        <v>10386.562319649505</v>
      </c>
      <c r="F29" s="289">
        <f>E29/((1+'T3 Inputs'!$B$4)^(B29-2016))</f>
        <v>1562.1619524203693</v>
      </c>
    </row>
    <row r="30" spans="1:6" x14ac:dyDescent="0.2">
      <c r="A30" s="226">
        <f t="shared" si="1"/>
        <v>26</v>
      </c>
      <c r="B30" s="227">
        <f t="shared" si="2"/>
        <v>2045</v>
      </c>
      <c r="C30" s="37">
        <f>'T5 Avoided Truck Miles'!H30</f>
        <v>221445.43826976634</v>
      </c>
      <c r="D30" s="296">
        <f>'T3 Inputs'!$B$14</f>
        <v>4.6903482866043615E-2</v>
      </c>
      <c r="E30" s="288">
        <f t="shared" si="0"/>
        <v>10386.562319649505</v>
      </c>
      <c r="F30" s="289">
        <f>E30/((1+'T3 Inputs'!$B$4)^(B30-2016))</f>
        <v>1459.9644415143637</v>
      </c>
    </row>
    <row r="31" spans="1:6" x14ac:dyDescent="0.2">
      <c r="A31" s="226">
        <f t="shared" si="1"/>
        <v>27</v>
      </c>
      <c r="B31" s="227">
        <f t="shared" si="2"/>
        <v>2046</v>
      </c>
      <c r="C31" s="37">
        <f>'T5 Avoided Truck Miles'!H31</f>
        <v>221445.43826976634</v>
      </c>
      <c r="D31" s="296">
        <f>'T3 Inputs'!$B$14</f>
        <v>4.6903482866043615E-2</v>
      </c>
      <c r="E31" s="288">
        <f t="shared" si="0"/>
        <v>10386.562319649505</v>
      </c>
      <c r="F31" s="289">
        <f>E31/((1+'T3 Inputs'!$B$4)^(B31-2016))</f>
        <v>1364.4527490788446</v>
      </c>
    </row>
    <row r="32" spans="1:6" x14ac:dyDescent="0.2">
      <c r="A32" s="226">
        <f t="shared" ref="A32:B34" si="3">A31+1</f>
        <v>28</v>
      </c>
      <c r="B32" s="227">
        <f t="shared" si="3"/>
        <v>2047</v>
      </c>
      <c r="C32" s="37">
        <f>'T5 Avoided Truck Miles'!H32</f>
        <v>221445.43826976634</v>
      </c>
      <c r="D32" s="296">
        <f>'T3 Inputs'!$B$14</f>
        <v>4.6903482866043615E-2</v>
      </c>
      <c r="E32" s="288">
        <f t="shared" si="0"/>
        <v>10386.562319649505</v>
      </c>
      <c r="F32" s="289">
        <f>E32/((1+'T3 Inputs'!$B$4)^(B32-2016))</f>
        <v>1275.1894851204154</v>
      </c>
    </row>
    <row r="33" spans="1:6" x14ac:dyDescent="0.2">
      <c r="A33" s="226">
        <f t="shared" si="3"/>
        <v>29</v>
      </c>
      <c r="B33" s="227">
        <f t="shared" si="3"/>
        <v>2048</v>
      </c>
      <c r="C33" s="37">
        <f>'T5 Avoided Truck Miles'!H33</f>
        <v>221445.43826976634</v>
      </c>
      <c r="D33" s="296">
        <f>'T3 Inputs'!$B$14</f>
        <v>4.6903482866043615E-2</v>
      </c>
      <c r="E33" s="288">
        <f t="shared" si="0"/>
        <v>10386.562319649505</v>
      </c>
      <c r="F33" s="289">
        <f>E33/((1+'T3 Inputs'!$B$4)^(B33-2016))</f>
        <v>1191.7658739443134</v>
      </c>
    </row>
    <row r="34" spans="1:6" x14ac:dyDescent="0.2">
      <c r="A34" s="226">
        <f t="shared" si="3"/>
        <v>30</v>
      </c>
      <c r="B34" s="227">
        <f t="shared" si="3"/>
        <v>2049</v>
      </c>
      <c r="C34" s="37">
        <f>'T5 Avoided Truck Miles'!H34</f>
        <v>221445.43826976634</v>
      </c>
      <c r="D34" s="296">
        <f>'T3 Inputs'!$B$14</f>
        <v>4.6903482866043615E-2</v>
      </c>
      <c r="E34" s="288">
        <f>C34*D34</f>
        <v>10386.562319649505</v>
      </c>
      <c r="F34" s="289">
        <f>E34/((1+'T3 Inputs'!$B$4)^(B34-2016))</f>
        <v>1113.7998821909471</v>
      </c>
    </row>
    <row r="35" spans="1:6" s="204" customFormat="1" ht="13.5" thickBot="1" x14ac:dyDescent="0.25">
      <c r="A35" s="596" t="s">
        <v>0</v>
      </c>
      <c r="B35" s="597"/>
      <c r="C35" s="178">
        <f>SUM(C3:C34)</f>
        <v>6625578.9915444087</v>
      </c>
      <c r="D35" s="297">
        <f>SUM(D3:D34)</f>
        <v>1.5009114517133946</v>
      </c>
      <c r="E35" s="290">
        <f>SUM(E3:E34)</f>
        <v>310762.73070752172</v>
      </c>
      <c r="F35" s="291">
        <f>SUM(F3:F34)</f>
        <v>104574.05211981697</v>
      </c>
    </row>
    <row r="36" spans="1:6" x14ac:dyDescent="0.2">
      <c r="C36" s="228"/>
    </row>
    <row r="37" spans="1:6" ht="13.5" thickBot="1" x14ac:dyDescent="0.25"/>
    <row r="38" spans="1:6" ht="51" x14ac:dyDescent="0.2">
      <c r="A38" s="218" t="s">
        <v>130</v>
      </c>
      <c r="B38" s="163" t="s">
        <v>2</v>
      </c>
      <c r="C38" s="163" t="s">
        <v>159</v>
      </c>
      <c r="D38" s="295" t="s">
        <v>162</v>
      </c>
      <c r="E38" s="286" t="s">
        <v>160</v>
      </c>
      <c r="F38" s="287" t="s">
        <v>161</v>
      </c>
    </row>
    <row r="39" spans="1:6" x14ac:dyDescent="0.2">
      <c r="A39" s="226">
        <f t="shared" ref="A39:B70" si="4">A3</f>
        <v>-1</v>
      </c>
      <c r="B39" s="227">
        <f t="shared" si="4"/>
        <v>2018</v>
      </c>
      <c r="C39" s="37">
        <f t="shared" ref="C39:C71" si="5">ROUND(C3,-3)</f>
        <v>0</v>
      </c>
      <c r="D39" s="296">
        <f t="shared" ref="D39:D70" si="6">D3</f>
        <v>4.6903482866043615E-2</v>
      </c>
      <c r="E39" s="288">
        <f t="shared" ref="E39:F58" si="7">ROUND(E3,-3)</f>
        <v>0</v>
      </c>
      <c r="F39" s="289">
        <f t="shared" si="7"/>
        <v>0</v>
      </c>
    </row>
    <row r="40" spans="1:6" x14ac:dyDescent="0.2">
      <c r="A40" s="226">
        <f t="shared" si="4"/>
        <v>0</v>
      </c>
      <c r="B40" s="227">
        <f t="shared" si="4"/>
        <v>2019</v>
      </c>
      <c r="C40" s="37">
        <f t="shared" si="5"/>
        <v>0</v>
      </c>
      <c r="D40" s="296">
        <f t="shared" si="6"/>
        <v>4.6903482866043615E-2</v>
      </c>
      <c r="E40" s="288">
        <f t="shared" si="7"/>
        <v>0</v>
      </c>
      <c r="F40" s="289">
        <f t="shared" si="7"/>
        <v>0</v>
      </c>
    </row>
    <row r="41" spans="1:6" x14ac:dyDescent="0.2">
      <c r="A41" s="226">
        <f t="shared" si="4"/>
        <v>1</v>
      </c>
      <c r="B41" s="227">
        <f t="shared" si="4"/>
        <v>2020</v>
      </c>
      <c r="C41" s="37">
        <f t="shared" si="5"/>
        <v>204000</v>
      </c>
      <c r="D41" s="296">
        <f t="shared" si="6"/>
        <v>4.6903482866043615E-2</v>
      </c>
      <c r="E41" s="288">
        <f t="shared" si="7"/>
        <v>10000</v>
      </c>
      <c r="F41" s="289">
        <f t="shared" si="7"/>
        <v>7000</v>
      </c>
    </row>
    <row r="42" spans="1:6" x14ac:dyDescent="0.2">
      <c r="A42" s="226">
        <f t="shared" si="4"/>
        <v>2</v>
      </c>
      <c r="B42" s="227">
        <f t="shared" si="4"/>
        <v>2021</v>
      </c>
      <c r="C42" s="37">
        <f t="shared" si="5"/>
        <v>221000</v>
      </c>
      <c r="D42" s="296">
        <f t="shared" si="6"/>
        <v>4.6903482866043615E-2</v>
      </c>
      <c r="E42" s="288">
        <f t="shared" si="7"/>
        <v>10000</v>
      </c>
      <c r="F42" s="289">
        <f t="shared" si="7"/>
        <v>7000</v>
      </c>
    </row>
    <row r="43" spans="1:6" x14ac:dyDescent="0.2">
      <c r="A43" s="226">
        <f t="shared" si="4"/>
        <v>3</v>
      </c>
      <c r="B43" s="227">
        <f t="shared" si="4"/>
        <v>2022</v>
      </c>
      <c r="C43" s="37">
        <f t="shared" si="5"/>
        <v>221000</v>
      </c>
      <c r="D43" s="296">
        <f t="shared" si="6"/>
        <v>4.6903482866043615E-2</v>
      </c>
      <c r="E43" s="288">
        <f t="shared" si="7"/>
        <v>10000</v>
      </c>
      <c r="F43" s="289">
        <f t="shared" si="7"/>
        <v>7000</v>
      </c>
    </row>
    <row r="44" spans="1:6" x14ac:dyDescent="0.2">
      <c r="A44" s="226">
        <f t="shared" si="4"/>
        <v>4</v>
      </c>
      <c r="B44" s="227">
        <f t="shared" si="4"/>
        <v>2023</v>
      </c>
      <c r="C44" s="37">
        <f t="shared" si="5"/>
        <v>221000</v>
      </c>
      <c r="D44" s="296">
        <f t="shared" si="6"/>
        <v>4.6903482866043615E-2</v>
      </c>
      <c r="E44" s="288">
        <f t="shared" si="7"/>
        <v>10000</v>
      </c>
      <c r="F44" s="289">
        <f t="shared" si="7"/>
        <v>6000</v>
      </c>
    </row>
    <row r="45" spans="1:6" x14ac:dyDescent="0.2">
      <c r="A45" s="226">
        <f t="shared" si="4"/>
        <v>5</v>
      </c>
      <c r="B45" s="227">
        <f t="shared" si="4"/>
        <v>2024</v>
      </c>
      <c r="C45" s="37">
        <f t="shared" si="5"/>
        <v>221000</v>
      </c>
      <c r="D45" s="296">
        <f t="shared" si="6"/>
        <v>4.6903482866043615E-2</v>
      </c>
      <c r="E45" s="288">
        <f t="shared" si="7"/>
        <v>10000</v>
      </c>
      <c r="F45" s="289">
        <f t="shared" si="7"/>
        <v>6000</v>
      </c>
    </row>
    <row r="46" spans="1:6" x14ac:dyDescent="0.2">
      <c r="A46" s="226">
        <f t="shared" si="4"/>
        <v>6</v>
      </c>
      <c r="B46" s="227">
        <f t="shared" si="4"/>
        <v>2025</v>
      </c>
      <c r="C46" s="37">
        <f t="shared" si="5"/>
        <v>221000</v>
      </c>
      <c r="D46" s="296">
        <f t="shared" si="6"/>
        <v>4.6903482866043615E-2</v>
      </c>
      <c r="E46" s="288">
        <f t="shared" si="7"/>
        <v>10000</v>
      </c>
      <c r="F46" s="289">
        <f t="shared" si="7"/>
        <v>6000</v>
      </c>
    </row>
    <row r="47" spans="1:6" x14ac:dyDescent="0.2">
      <c r="A47" s="226">
        <f t="shared" si="4"/>
        <v>7</v>
      </c>
      <c r="B47" s="227">
        <f t="shared" si="4"/>
        <v>2026</v>
      </c>
      <c r="C47" s="37">
        <f t="shared" si="5"/>
        <v>221000</v>
      </c>
      <c r="D47" s="296">
        <f t="shared" si="6"/>
        <v>4.6903482866043615E-2</v>
      </c>
      <c r="E47" s="288">
        <f t="shared" si="7"/>
        <v>10000</v>
      </c>
      <c r="F47" s="289">
        <f t="shared" si="7"/>
        <v>5000</v>
      </c>
    </row>
    <row r="48" spans="1:6" x14ac:dyDescent="0.2">
      <c r="A48" s="226">
        <f t="shared" si="4"/>
        <v>8</v>
      </c>
      <c r="B48" s="227">
        <f t="shared" si="4"/>
        <v>2027</v>
      </c>
      <c r="C48" s="37">
        <f t="shared" si="5"/>
        <v>221000</v>
      </c>
      <c r="D48" s="296">
        <f t="shared" si="6"/>
        <v>4.6903482866043615E-2</v>
      </c>
      <c r="E48" s="288">
        <f t="shared" si="7"/>
        <v>10000</v>
      </c>
      <c r="F48" s="289">
        <f t="shared" si="7"/>
        <v>5000</v>
      </c>
    </row>
    <row r="49" spans="1:6" x14ac:dyDescent="0.2">
      <c r="A49" s="226">
        <f t="shared" si="4"/>
        <v>9</v>
      </c>
      <c r="B49" s="227">
        <f t="shared" si="4"/>
        <v>2028</v>
      </c>
      <c r="C49" s="37">
        <f t="shared" si="5"/>
        <v>221000</v>
      </c>
      <c r="D49" s="296">
        <f t="shared" si="6"/>
        <v>4.6903482866043615E-2</v>
      </c>
      <c r="E49" s="288">
        <f t="shared" si="7"/>
        <v>10000</v>
      </c>
      <c r="F49" s="289">
        <f t="shared" si="7"/>
        <v>5000</v>
      </c>
    </row>
    <row r="50" spans="1:6" x14ac:dyDescent="0.2">
      <c r="A50" s="226">
        <f t="shared" si="4"/>
        <v>10</v>
      </c>
      <c r="B50" s="227">
        <f t="shared" si="4"/>
        <v>2029</v>
      </c>
      <c r="C50" s="37">
        <f t="shared" si="5"/>
        <v>221000</v>
      </c>
      <c r="D50" s="296">
        <f t="shared" si="6"/>
        <v>4.6903482866043615E-2</v>
      </c>
      <c r="E50" s="288">
        <f t="shared" si="7"/>
        <v>10000</v>
      </c>
      <c r="F50" s="289">
        <f t="shared" si="7"/>
        <v>4000</v>
      </c>
    </row>
    <row r="51" spans="1:6" x14ac:dyDescent="0.2">
      <c r="A51" s="226">
        <f t="shared" si="4"/>
        <v>11</v>
      </c>
      <c r="B51" s="227">
        <f t="shared" si="4"/>
        <v>2030</v>
      </c>
      <c r="C51" s="37">
        <f t="shared" si="5"/>
        <v>221000</v>
      </c>
      <c r="D51" s="296">
        <f t="shared" si="6"/>
        <v>4.6903482866043615E-2</v>
      </c>
      <c r="E51" s="288">
        <f t="shared" si="7"/>
        <v>10000</v>
      </c>
      <c r="F51" s="289">
        <f t="shared" si="7"/>
        <v>4000</v>
      </c>
    </row>
    <row r="52" spans="1:6" x14ac:dyDescent="0.2">
      <c r="A52" s="226">
        <f t="shared" si="4"/>
        <v>12</v>
      </c>
      <c r="B52" s="227">
        <f t="shared" si="4"/>
        <v>2031</v>
      </c>
      <c r="C52" s="37">
        <f t="shared" si="5"/>
        <v>221000</v>
      </c>
      <c r="D52" s="296">
        <f t="shared" si="6"/>
        <v>4.6903482866043615E-2</v>
      </c>
      <c r="E52" s="288">
        <f t="shared" si="7"/>
        <v>10000</v>
      </c>
      <c r="F52" s="289">
        <f t="shared" si="7"/>
        <v>4000</v>
      </c>
    </row>
    <row r="53" spans="1:6" x14ac:dyDescent="0.2">
      <c r="A53" s="226">
        <f t="shared" si="4"/>
        <v>13</v>
      </c>
      <c r="B53" s="227">
        <f t="shared" si="4"/>
        <v>2032</v>
      </c>
      <c r="C53" s="37">
        <f t="shared" si="5"/>
        <v>221000</v>
      </c>
      <c r="D53" s="296">
        <f t="shared" si="6"/>
        <v>4.6903482866043615E-2</v>
      </c>
      <c r="E53" s="288">
        <f t="shared" si="7"/>
        <v>10000</v>
      </c>
      <c r="F53" s="289">
        <f t="shared" si="7"/>
        <v>4000</v>
      </c>
    </row>
    <row r="54" spans="1:6" x14ac:dyDescent="0.2">
      <c r="A54" s="226">
        <f t="shared" si="4"/>
        <v>14</v>
      </c>
      <c r="B54" s="227">
        <f t="shared" si="4"/>
        <v>2033</v>
      </c>
      <c r="C54" s="37">
        <f t="shared" si="5"/>
        <v>221000</v>
      </c>
      <c r="D54" s="296">
        <f t="shared" si="6"/>
        <v>4.6903482866043615E-2</v>
      </c>
      <c r="E54" s="288">
        <f t="shared" si="7"/>
        <v>10000</v>
      </c>
      <c r="F54" s="289">
        <f t="shared" si="7"/>
        <v>3000</v>
      </c>
    </row>
    <row r="55" spans="1:6" x14ac:dyDescent="0.2">
      <c r="A55" s="226">
        <f t="shared" si="4"/>
        <v>15</v>
      </c>
      <c r="B55" s="227">
        <f t="shared" si="4"/>
        <v>2034</v>
      </c>
      <c r="C55" s="37">
        <f t="shared" si="5"/>
        <v>221000</v>
      </c>
      <c r="D55" s="296">
        <f t="shared" si="6"/>
        <v>4.6903482866043615E-2</v>
      </c>
      <c r="E55" s="288">
        <f t="shared" si="7"/>
        <v>10000</v>
      </c>
      <c r="F55" s="289">
        <f t="shared" si="7"/>
        <v>3000</v>
      </c>
    </row>
    <row r="56" spans="1:6" x14ac:dyDescent="0.2">
      <c r="A56" s="226">
        <f t="shared" si="4"/>
        <v>16</v>
      </c>
      <c r="B56" s="227">
        <f t="shared" si="4"/>
        <v>2035</v>
      </c>
      <c r="C56" s="37">
        <f t="shared" si="5"/>
        <v>221000</v>
      </c>
      <c r="D56" s="296">
        <f t="shared" si="6"/>
        <v>4.6903482866043615E-2</v>
      </c>
      <c r="E56" s="288">
        <f t="shared" si="7"/>
        <v>10000</v>
      </c>
      <c r="F56" s="289">
        <f t="shared" si="7"/>
        <v>3000</v>
      </c>
    </row>
    <row r="57" spans="1:6" x14ac:dyDescent="0.2">
      <c r="A57" s="226">
        <f t="shared" si="4"/>
        <v>17</v>
      </c>
      <c r="B57" s="227">
        <f t="shared" si="4"/>
        <v>2036</v>
      </c>
      <c r="C57" s="37">
        <f t="shared" si="5"/>
        <v>221000</v>
      </c>
      <c r="D57" s="296">
        <f t="shared" si="6"/>
        <v>4.6903482866043615E-2</v>
      </c>
      <c r="E57" s="288">
        <f t="shared" si="7"/>
        <v>10000</v>
      </c>
      <c r="F57" s="289">
        <f t="shared" si="7"/>
        <v>3000</v>
      </c>
    </row>
    <row r="58" spans="1:6" x14ac:dyDescent="0.2">
      <c r="A58" s="226">
        <f t="shared" si="4"/>
        <v>18</v>
      </c>
      <c r="B58" s="227">
        <f t="shared" si="4"/>
        <v>2037</v>
      </c>
      <c r="C58" s="37">
        <f t="shared" si="5"/>
        <v>221000</v>
      </c>
      <c r="D58" s="296">
        <f t="shared" si="6"/>
        <v>4.6903482866043615E-2</v>
      </c>
      <c r="E58" s="288">
        <f t="shared" si="7"/>
        <v>10000</v>
      </c>
      <c r="F58" s="289">
        <f t="shared" si="7"/>
        <v>3000</v>
      </c>
    </row>
    <row r="59" spans="1:6" x14ac:dyDescent="0.2">
      <c r="A59" s="226">
        <f t="shared" si="4"/>
        <v>19</v>
      </c>
      <c r="B59" s="227">
        <f t="shared" si="4"/>
        <v>2038</v>
      </c>
      <c r="C59" s="37">
        <f t="shared" si="5"/>
        <v>221000</v>
      </c>
      <c r="D59" s="296">
        <f t="shared" si="6"/>
        <v>4.6903482866043615E-2</v>
      </c>
      <c r="E59" s="288">
        <f t="shared" ref="E59:F71" si="8">ROUND(E23,-3)</f>
        <v>10000</v>
      </c>
      <c r="F59" s="289">
        <f t="shared" si="8"/>
        <v>2000</v>
      </c>
    </row>
    <row r="60" spans="1:6" x14ac:dyDescent="0.2">
      <c r="A60" s="226">
        <f t="shared" si="4"/>
        <v>20</v>
      </c>
      <c r="B60" s="227">
        <f t="shared" si="4"/>
        <v>2039</v>
      </c>
      <c r="C60" s="37">
        <f t="shared" si="5"/>
        <v>221000</v>
      </c>
      <c r="D60" s="296">
        <f t="shared" si="6"/>
        <v>4.6903482866043615E-2</v>
      </c>
      <c r="E60" s="288">
        <f t="shared" si="8"/>
        <v>10000</v>
      </c>
      <c r="F60" s="289">
        <f t="shared" si="8"/>
        <v>2000</v>
      </c>
    </row>
    <row r="61" spans="1:6" x14ac:dyDescent="0.2">
      <c r="A61" s="226">
        <f t="shared" si="4"/>
        <v>21</v>
      </c>
      <c r="B61" s="227">
        <f t="shared" si="4"/>
        <v>2040</v>
      </c>
      <c r="C61" s="37">
        <f t="shared" si="5"/>
        <v>221000</v>
      </c>
      <c r="D61" s="296">
        <f t="shared" si="6"/>
        <v>4.6903482866043615E-2</v>
      </c>
      <c r="E61" s="288">
        <f t="shared" si="8"/>
        <v>10000</v>
      </c>
      <c r="F61" s="289">
        <f t="shared" si="8"/>
        <v>2000</v>
      </c>
    </row>
    <row r="62" spans="1:6" x14ac:dyDescent="0.2">
      <c r="A62" s="226">
        <f t="shared" si="4"/>
        <v>22</v>
      </c>
      <c r="B62" s="227">
        <f t="shared" si="4"/>
        <v>2041</v>
      </c>
      <c r="C62" s="37">
        <f t="shared" si="5"/>
        <v>221000</v>
      </c>
      <c r="D62" s="296">
        <f t="shared" si="6"/>
        <v>4.6903482866043615E-2</v>
      </c>
      <c r="E62" s="288">
        <f t="shared" si="8"/>
        <v>10000</v>
      </c>
      <c r="F62" s="289">
        <f t="shared" si="8"/>
        <v>2000</v>
      </c>
    </row>
    <row r="63" spans="1:6" x14ac:dyDescent="0.2">
      <c r="A63" s="226">
        <f t="shared" si="4"/>
        <v>23</v>
      </c>
      <c r="B63" s="227">
        <f t="shared" si="4"/>
        <v>2042</v>
      </c>
      <c r="C63" s="37">
        <f t="shared" si="5"/>
        <v>221000</v>
      </c>
      <c r="D63" s="296">
        <f t="shared" si="6"/>
        <v>4.6903482866043615E-2</v>
      </c>
      <c r="E63" s="288">
        <f t="shared" si="8"/>
        <v>10000</v>
      </c>
      <c r="F63" s="289">
        <f t="shared" si="8"/>
        <v>2000</v>
      </c>
    </row>
    <row r="64" spans="1:6" x14ac:dyDescent="0.2">
      <c r="A64" s="226">
        <f t="shared" si="4"/>
        <v>24</v>
      </c>
      <c r="B64" s="227">
        <f t="shared" si="4"/>
        <v>2043</v>
      </c>
      <c r="C64" s="37">
        <f t="shared" si="5"/>
        <v>221000</v>
      </c>
      <c r="D64" s="296">
        <f t="shared" si="6"/>
        <v>4.6903482866043615E-2</v>
      </c>
      <c r="E64" s="288">
        <f t="shared" si="8"/>
        <v>10000</v>
      </c>
      <c r="F64" s="289">
        <f t="shared" si="8"/>
        <v>2000</v>
      </c>
    </row>
    <row r="65" spans="1:6" x14ac:dyDescent="0.2">
      <c r="A65" s="226">
        <f t="shared" si="4"/>
        <v>25</v>
      </c>
      <c r="B65" s="227">
        <f t="shared" si="4"/>
        <v>2044</v>
      </c>
      <c r="C65" s="37">
        <f t="shared" si="5"/>
        <v>221000</v>
      </c>
      <c r="D65" s="296">
        <f t="shared" si="6"/>
        <v>4.6903482866043615E-2</v>
      </c>
      <c r="E65" s="288">
        <f t="shared" si="8"/>
        <v>10000</v>
      </c>
      <c r="F65" s="289">
        <f t="shared" si="8"/>
        <v>2000</v>
      </c>
    </row>
    <row r="66" spans="1:6" x14ac:dyDescent="0.2">
      <c r="A66" s="226">
        <f t="shared" si="4"/>
        <v>26</v>
      </c>
      <c r="B66" s="227">
        <f t="shared" si="4"/>
        <v>2045</v>
      </c>
      <c r="C66" s="37">
        <f t="shared" si="5"/>
        <v>221000</v>
      </c>
      <c r="D66" s="296">
        <f t="shared" si="6"/>
        <v>4.6903482866043615E-2</v>
      </c>
      <c r="E66" s="288">
        <f t="shared" si="8"/>
        <v>10000</v>
      </c>
      <c r="F66" s="289">
        <f t="shared" si="8"/>
        <v>1000</v>
      </c>
    </row>
    <row r="67" spans="1:6" x14ac:dyDescent="0.2">
      <c r="A67" s="226">
        <f t="shared" si="4"/>
        <v>27</v>
      </c>
      <c r="B67" s="227">
        <f t="shared" si="4"/>
        <v>2046</v>
      </c>
      <c r="C67" s="37">
        <f t="shared" si="5"/>
        <v>221000</v>
      </c>
      <c r="D67" s="296">
        <f t="shared" si="6"/>
        <v>4.6903482866043615E-2</v>
      </c>
      <c r="E67" s="288">
        <f t="shared" si="8"/>
        <v>10000</v>
      </c>
      <c r="F67" s="289">
        <f t="shared" si="8"/>
        <v>1000</v>
      </c>
    </row>
    <row r="68" spans="1:6" x14ac:dyDescent="0.2">
      <c r="A68" s="226">
        <f t="shared" si="4"/>
        <v>28</v>
      </c>
      <c r="B68" s="227">
        <f t="shared" si="4"/>
        <v>2047</v>
      </c>
      <c r="C68" s="37">
        <f t="shared" si="5"/>
        <v>221000</v>
      </c>
      <c r="D68" s="296">
        <f t="shared" si="6"/>
        <v>4.6903482866043615E-2</v>
      </c>
      <c r="E68" s="288">
        <f t="shared" si="8"/>
        <v>10000</v>
      </c>
      <c r="F68" s="289">
        <f t="shared" si="8"/>
        <v>1000</v>
      </c>
    </row>
    <row r="69" spans="1:6" x14ac:dyDescent="0.2">
      <c r="A69" s="226">
        <f t="shared" si="4"/>
        <v>29</v>
      </c>
      <c r="B69" s="227">
        <f t="shared" si="4"/>
        <v>2048</v>
      </c>
      <c r="C69" s="37">
        <f t="shared" si="5"/>
        <v>221000</v>
      </c>
      <c r="D69" s="296">
        <f t="shared" si="6"/>
        <v>4.6903482866043615E-2</v>
      </c>
      <c r="E69" s="288">
        <f t="shared" si="8"/>
        <v>10000</v>
      </c>
      <c r="F69" s="289">
        <f t="shared" si="8"/>
        <v>1000</v>
      </c>
    </row>
    <row r="70" spans="1:6" x14ac:dyDescent="0.2">
      <c r="A70" s="226">
        <f t="shared" si="4"/>
        <v>30</v>
      </c>
      <c r="B70" s="227">
        <f t="shared" si="4"/>
        <v>2049</v>
      </c>
      <c r="C70" s="37">
        <f t="shared" si="5"/>
        <v>221000</v>
      </c>
      <c r="D70" s="296">
        <f t="shared" si="6"/>
        <v>4.6903482866043615E-2</v>
      </c>
      <c r="E70" s="288">
        <f t="shared" si="8"/>
        <v>10000</v>
      </c>
      <c r="F70" s="289">
        <f t="shared" si="8"/>
        <v>1000</v>
      </c>
    </row>
    <row r="71" spans="1:6" ht="13.5" thickBot="1" x14ac:dyDescent="0.25">
      <c r="A71" s="596" t="s">
        <v>0</v>
      </c>
      <c r="B71" s="597"/>
      <c r="C71" s="178">
        <f t="shared" si="5"/>
        <v>6626000</v>
      </c>
      <c r="D71" s="297"/>
      <c r="E71" s="290">
        <f t="shared" si="8"/>
        <v>311000</v>
      </c>
      <c r="F71" s="291">
        <f t="shared" si="8"/>
        <v>105000</v>
      </c>
    </row>
  </sheetData>
  <mergeCells count="2">
    <mergeCell ref="A35:B35"/>
    <mergeCell ref="A71:B71"/>
  </mergeCells>
  <pageMargins left="0.7" right="0.7" top="0.75" bottom="0.75" header="0.3" footer="0.3"/>
  <pageSetup orientation="portrait" verticalDpi="0" r:id="rId1"/>
  <rowBreaks count="1" manualBreakCount="1">
    <brk id="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zoomScaleNormal="100" workbookViewId="0">
      <selection activeCell="B2" sqref="B2"/>
    </sheetView>
  </sheetViews>
  <sheetFormatPr defaultRowHeight="12.75" x14ac:dyDescent="0.2"/>
  <cols>
    <col min="1" max="1" width="9.140625" style="1"/>
    <col min="2" max="3" width="8.7109375" style="234" customWidth="1"/>
    <col min="4" max="4" width="12.7109375" style="1" customWidth="1"/>
    <col min="5" max="6" width="12.7109375" style="298" customWidth="1"/>
    <col min="7" max="8" width="12.7109375" style="285" customWidth="1"/>
    <col min="9" max="9" width="9.140625" style="285"/>
    <col min="10" max="16384" width="9.140625" style="1"/>
  </cols>
  <sheetData>
    <row r="1" spans="2:9" ht="13.5" thickBot="1" x14ac:dyDescent="0.25"/>
    <row r="2" spans="2:9" s="219" customFormat="1" ht="51" x14ac:dyDescent="0.2">
      <c r="B2" s="218" t="s">
        <v>130</v>
      </c>
      <c r="C2" s="163" t="s">
        <v>2</v>
      </c>
      <c r="D2" s="163" t="s">
        <v>172</v>
      </c>
      <c r="E2" s="299" t="s">
        <v>280</v>
      </c>
      <c r="F2" s="299" t="s">
        <v>281</v>
      </c>
      <c r="G2" s="300" t="s">
        <v>269</v>
      </c>
      <c r="H2" s="287" t="s">
        <v>282</v>
      </c>
      <c r="I2" s="301"/>
    </row>
    <row r="3" spans="2:9" x14ac:dyDescent="0.2">
      <c r="B3" s="226">
        <v>-1</v>
      </c>
      <c r="C3" s="227">
        <v>2018</v>
      </c>
      <c r="D3" s="37">
        <f>'T4 Globalplex Cargo'!M14</f>
        <v>1454056.8824204358</v>
      </c>
      <c r="E3" s="28">
        <f>D3*'T3 Inputs'!$B$41</f>
        <v>1672165.4147835011</v>
      </c>
      <c r="F3" s="28">
        <f>E3</f>
        <v>1672165.4147835011</v>
      </c>
      <c r="G3" s="288">
        <f>E3-F3</f>
        <v>0</v>
      </c>
      <c r="H3" s="289">
        <f>G3/((1+'T3 Inputs'!$B$4)^(C3-2016))</f>
        <v>0</v>
      </c>
    </row>
    <row r="4" spans="2:9" x14ac:dyDescent="0.2">
      <c r="B4" s="226">
        <f>B3+1</f>
        <v>0</v>
      </c>
      <c r="C4" s="227">
        <f>C3+1</f>
        <v>2019</v>
      </c>
      <c r="D4" s="37">
        <f>'T4 Globalplex Cargo'!M15</f>
        <v>1581028.3666856978</v>
      </c>
      <c r="E4" s="28">
        <f>D4*'T3 Inputs'!$B$41</f>
        <v>1818182.6216885524</v>
      </c>
      <c r="F4" s="28">
        <f>E4</f>
        <v>1818182.6216885524</v>
      </c>
      <c r="G4" s="288">
        <f t="shared" ref="G4:G33" si="0">E4-F4</f>
        <v>0</v>
      </c>
      <c r="H4" s="289">
        <f>G4/((1+'T3 Inputs'!$B$4)^(C4-2016))</f>
        <v>0</v>
      </c>
    </row>
    <row r="5" spans="2:9" x14ac:dyDescent="0.2">
      <c r="B5" s="226">
        <f t="shared" ref="B5:B34" si="1">B4+1</f>
        <v>1</v>
      </c>
      <c r="C5" s="227">
        <f t="shared" ref="C5:C34" si="2">C4+1</f>
        <v>2020</v>
      </c>
      <c r="D5" s="37">
        <f>'T4 Globalplex Cargo'!M16</f>
        <v>1719087.2836445745</v>
      </c>
      <c r="E5" s="28">
        <f>D5*'T3 Inputs'!$B$41</f>
        <v>1976950.3761912605</v>
      </c>
      <c r="F5" s="28">
        <f>D5*'T3 Inputs'!$B$40</f>
        <v>326626.58389246918</v>
      </c>
      <c r="G5" s="288">
        <f t="shared" si="0"/>
        <v>1650323.7922987915</v>
      </c>
      <c r="H5" s="289">
        <f>G5/((1+'T3 Inputs'!$B$4)^(C5-2016))</f>
        <v>1259024.1194728625</v>
      </c>
    </row>
    <row r="6" spans="2:9" x14ac:dyDescent="0.2">
      <c r="B6" s="226">
        <f t="shared" si="1"/>
        <v>2</v>
      </c>
      <c r="C6" s="227">
        <f t="shared" si="2"/>
        <v>2021</v>
      </c>
      <c r="D6" s="37">
        <f>'T4 Globalplex Cargo'!M17</f>
        <v>1869201.8126047803</v>
      </c>
      <c r="E6" s="28">
        <f>D6*'T3 Inputs'!$B$41</f>
        <v>2149582.0844954974</v>
      </c>
      <c r="F6" s="28">
        <f>D6*'T3 Inputs'!$B$40</f>
        <v>355148.34439490829</v>
      </c>
      <c r="G6" s="288">
        <f t="shared" si="0"/>
        <v>1794433.7401005891</v>
      </c>
      <c r="H6" s="289">
        <f>G6/((1+'T3 Inputs'!$B$4)^(C6-2016))</f>
        <v>1279406.4566909089</v>
      </c>
    </row>
    <row r="7" spans="2:9" x14ac:dyDescent="0.2">
      <c r="B7" s="226">
        <f t="shared" si="1"/>
        <v>3</v>
      </c>
      <c r="C7" s="227">
        <f t="shared" si="2"/>
        <v>2022</v>
      </c>
      <c r="D7" s="37">
        <f>'T4 Globalplex Cargo'!M18</f>
        <v>1869201.8126047803</v>
      </c>
      <c r="E7" s="28">
        <f>D7*'T3 Inputs'!$B$41</f>
        <v>2149582.0844954974</v>
      </c>
      <c r="F7" s="28">
        <f>D7*'T3 Inputs'!$B$40</f>
        <v>355148.34439490829</v>
      </c>
      <c r="G7" s="288">
        <f t="shared" si="0"/>
        <v>1794433.7401005891</v>
      </c>
      <c r="H7" s="289">
        <f>G7/((1+'T3 Inputs'!$B$4)^(C7-2016))</f>
        <v>1195706.9688700084</v>
      </c>
    </row>
    <row r="8" spans="2:9" x14ac:dyDescent="0.2">
      <c r="B8" s="226">
        <f t="shared" si="1"/>
        <v>4</v>
      </c>
      <c r="C8" s="227">
        <f t="shared" si="2"/>
        <v>2023</v>
      </c>
      <c r="D8" s="37">
        <f>'T4 Globalplex Cargo'!M19</f>
        <v>1869201.8126047803</v>
      </c>
      <c r="E8" s="28">
        <f>D8*'T3 Inputs'!$B$41</f>
        <v>2149582.0844954974</v>
      </c>
      <c r="F8" s="28">
        <f>D8*'T3 Inputs'!$B$40</f>
        <v>355148.34439490829</v>
      </c>
      <c r="G8" s="288">
        <f t="shared" si="0"/>
        <v>1794433.7401005891</v>
      </c>
      <c r="H8" s="289">
        <f>G8/((1+'T3 Inputs'!$B$4)^(C8-2016))</f>
        <v>1117483.1484766433</v>
      </c>
    </row>
    <row r="9" spans="2:9" x14ac:dyDescent="0.2">
      <c r="B9" s="226">
        <f t="shared" si="1"/>
        <v>5</v>
      </c>
      <c r="C9" s="227">
        <f t="shared" si="2"/>
        <v>2024</v>
      </c>
      <c r="D9" s="37">
        <f>'T4 Globalplex Cargo'!M20</f>
        <v>1869201.8126047803</v>
      </c>
      <c r="E9" s="28">
        <f>D9*'T3 Inputs'!$B$41</f>
        <v>2149582.0844954974</v>
      </c>
      <c r="F9" s="28">
        <f>D9*'T3 Inputs'!$B$40</f>
        <v>355148.34439490829</v>
      </c>
      <c r="G9" s="288">
        <f t="shared" si="0"/>
        <v>1794433.7401005891</v>
      </c>
      <c r="H9" s="289">
        <f>G9/((1+'T3 Inputs'!$B$4)^(C9-2016))</f>
        <v>1044376.7742772368</v>
      </c>
    </row>
    <row r="10" spans="2:9" x14ac:dyDescent="0.2">
      <c r="B10" s="226">
        <f t="shared" si="1"/>
        <v>6</v>
      </c>
      <c r="C10" s="227">
        <f t="shared" si="2"/>
        <v>2025</v>
      </c>
      <c r="D10" s="37">
        <f>'T4 Globalplex Cargo'!M21</f>
        <v>1869201.8126047803</v>
      </c>
      <c r="E10" s="28">
        <f>D10*'T3 Inputs'!$B$41</f>
        <v>2149582.0844954974</v>
      </c>
      <c r="F10" s="28">
        <f>D10*'T3 Inputs'!$B$40</f>
        <v>355148.34439490829</v>
      </c>
      <c r="G10" s="288">
        <f t="shared" si="0"/>
        <v>1794433.7401005891</v>
      </c>
      <c r="H10" s="289">
        <f>G10/((1+'T3 Inputs'!$B$4)^(C10-2016))</f>
        <v>976053.06007218384</v>
      </c>
    </row>
    <row r="11" spans="2:9" x14ac:dyDescent="0.2">
      <c r="B11" s="226">
        <f t="shared" si="1"/>
        <v>7</v>
      </c>
      <c r="C11" s="227">
        <f t="shared" si="2"/>
        <v>2026</v>
      </c>
      <c r="D11" s="37">
        <f>'T4 Globalplex Cargo'!M22</f>
        <v>1869201.8126047803</v>
      </c>
      <c r="E11" s="28">
        <f>D11*'T3 Inputs'!$B$41</f>
        <v>2149582.0844954974</v>
      </c>
      <c r="F11" s="28">
        <f>D11*'T3 Inputs'!$B$40</f>
        <v>355148.34439490829</v>
      </c>
      <c r="G11" s="288">
        <f t="shared" si="0"/>
        <v>1794433.7401005891</v>
      </c>
      <c r="H11" s="289">
        <f>G11/((1+'T3 Inputs'!$B$4)^(C11-2016))</f>
        <v>912199.12156278861</v>
      </c>
    </row>
    <row r="12" spans="2:9" x14ac:dyDescent="0.2">
      <c r="B12" s="226">
        <f t="shared" si="1"/>
        <v>8</v>
      </c>
      <c r="C12" s="227">
        <f t="shared" si="2"/>
        <v>2027</v>
      </c>
      <c r="D12" s="37">
        <f>'T4 Globalplex Cargo'!M23</f>
        <v>1869201.8126047803</v>
      </c>
      <c r="E12" s="28">
        <f>D12*'T3 Inputs'!$B$41</f>
        <v>2149582.0844954974</v>
      </c>
      <c r="F12" s="28">
        <f>D12*'T3 Inputs'!$B$40</f>
        <v>355148.34439490829</v>
      </c>
      <c r="G12" s="288">
        <f t="shared" si="0"/>
        <v>1794433.7401005891</v>
      </c>
      <c r="H12" s="289">
        <f>G12/((1+'T3 Inputs'!$B$4)^(C12-2016))</f>
        <v>852522.54351662484</v>
      </c>
    </row>
    <row r="13" spans="2:9" x14ac:dyDescent="0.2">
      <c r="B13" s="226">
        <f t="shared" si="1"/>
        <v>9</v>
      </c>
      <c r="C13" s="227">
        <f t="shared" si="2"/>
        <v>2028</v>
      </c>
      <c r="D13" s="37">
        <f>'T4 Globalplex Cargo'!M24</f>
        <v>1869201.8126047803</v>
      </c>
      <c r="E13" s="28">
        <f>D13*'T3 Inputs'!$B$41</f>
        <v>2149582.0844954974</v>
      </c>
      <c r="F13" s="28">
        <f>D13*'T3 Inputs'!$B$40</f>
        <v>355148.34439490829</v>
      </c>
      <c r="G13" s="288">
        <f t="shared" si="0"/>
        <v>1794433.7401005891</v>
      </c>
      <c r="H13" s="289">
        <f>G13/((1+'T3 Inputs'!$B$4)^(C13-2016))</f>
        <v>796750.04066974297</v>
      </c>
    </row>
    <row r="14" spans="2:9" x14ac:dyDescent="0.2">
      <c r="B14" s="226">
        <f t="shared" si="1"/>
        <v>10</v>
      </c>
      <c r="C14" s="227">
        <f t="shared" si="2"/>
        <v>2029</v>
      </c>
      <c r="D14" s="37">
        <f>'T4 Globalplex Cargo'!M25</f>
        <v>1869201.8126047803</v>
      </c>
      <c r="E14" s="28">
        <f>D14*'T3 Inputs'!$B$41</f>
        <v>2149582.0844954974</v>
      </c>
      <c r="F14" s="28">
        <f>D14*'T3 Inputs'!$B$40</f>
        <v>355148.34439490829</v>
      </c>
      <c r="G14" s="288">
        <f t="shared" si="0"/>
        <v>1794433.7401005891</v>
      </c>
      <c r="H14" s="289">
        <f>G14/((1+'T3 Inputs'!$B$4)^(C14-2016))</f>
        <v>744626.20623340458</v>
      </c>
    </row>
    <row r="15" spans="2:9" x14ac:dyDescent="0.2">
      <c r="B15" s="226">
        <f t="shared" si="1"/>
        <v>11</v>
      </c>
      <c r="C15" s="227">
        <f t="shared" si="2"/>
        <v>2030</v>
      </c>
      <c r="D15" s="37">
        <f>'T4 Globalplex Cargo'!M26</f>
        <v>1869201.8126047803</v>
      </c>
      <c r="E15" s="28">
        <f>D15*'T3 Inputs'!$B$41</f>
        <v>2149582.0844954974</v>
      </c>
      <c r="F15" s="28">
        <f>D15*'T3 Inputs'!$B$40</f>
        <v>355148.34439490829</v>
      </c>
      <c r="G15" s="288">
        <f t="shared" si="0"/>
        <v>1794433.7401005891</v>
      </c>
      <c r="H15" s="289">
        <f>G15/((1+'T3 Inputs'!$B$4)^(C15-2016))</f>
        <v>695912.34227420995</v>
      </c>
    </row>
    <row r="16" spans="2:9" x14ac:dyDescent="0.2">
      <c r="B16" s="226">
        <f t="shared" si="1"/>
        <v>12</v>
      </c>
      <c r="C16" s="227">
        <f t="shared" si="2"/>
        <v>2031</v>
      </c>
      <c r="D16" s="37">
        <f>'T4 Globalplex Cargo'!M27</f>
        <v>1869201.8126047803</v>
      </c>
      <c r="E16" s="28">
        <f>D16*'T3 Inputs'!$B$41</f>
        <v>2149582.0844954974</v>
      </c>
      <c r="F16" s="28">
        <f>D16*'T3 Inputs'!$B$40</f>
        <v>355148.34439490829</v>
      </c>
      <c r="G16" s="288">
        <f t="shared" si="0"/>
        <v>1794433.7401005891</v>
      </c>
      <c r="H16" s="289">
        <f>G16/((1+'T3 Inputs'!$B$4)^(C16-2016))</f>
        <v>650385.3666114111</v>
      </c>
    </row>
    <row r="17" spans="2:8" x14ac:dyDescent="0.2">
      <c r="B17" s="226">
        <f t="shared" si="1"/>
        <v>13</v>
      </c>
      <c r="C17" s="227">
        <f t="shared" si="2"/>
        <v>2032</v>
      </c>
      <c r="D17" s="37">
        <f>'T4 Globalplex Cargo'!M28</f>
        <v>1869201.8126047803</v>
      </c>
      <c r="E17" s="28">
        <f>D17*'T3 Inputs'!$B$41</f>
        <v>2149582.0844954974</v>
      </c>
      <c r="F17" s="28">
        <f>D17*'T3 Inputs'!$B$40</f>
        <v>355148.34439490829</v>
      </c>
      <c r="G17" s="288">
        <f t="shared" si="0"/>
        <v>1794433.7401005891</v>
      </c>
      <c r="H17" s="289">
        <f>G17/((1+'T3 Inputs'!$B$4)^(C17-2016))</f>
        <v>607836.79122561787</v>
      </c>
    </row>
    <row r="18" spans="2:8" x14ac:dyDescent="0.2">
      <c r="B18" s="226">
        <f t="shared" si="1"/>
        <v>14</v>
      </c>
      <c r="C18" s="227">
        <f t="shared" si="2"/>
        <v>2033</v>
      </c>
      <c r="D18" s="37">
        <f>'T4 Globalplex Cargo'!M29</f>
        <v>1869201.8126047803</v>
      </c>
      <c r="E18" s="28">
        <f>D18*'T3 Inputs'!$B$41</f>
        <v>2149582.0844954974</v>
      </c>
      <c r="F18" s="28">
        <f>D18*'T3 Inputs'!$B$40</f>
        <v>355148.34439490829</v>
      </c>
      <c r="G18" s="288">
        <f t="shared" si="0"/>
        <v>1794433.7401005891</v>
      </c>
      <c r="H18" s="289">
        <f>G18/((1+'T3 Inputs'!$B$4)^(C18-2016))</f>
        <v>568071.76750057749</v>
      </c>
    </row>
    <row r="19" spans="2:8" x14ac:dyDescent="0.2">
      <c r="B19" s="226">
        <f t="shared" si="1"/>
        <v>15</v>
      </c>
      <c r="C19" s="227">
        <f t="shared" si="2"/>
        <v>2034</v>
      </c>
      <c r="D19" s="37">
        <f>'T4 Globalplex Cargo'!M30</f>
        <v>1869201.8126047803</v>
      </c>
      <c r="E19" s="28">
        <f>D19*'T3 Inputs'!$B$41</f>
        <v>2149582.0844954974</v>
      </c>
      <c r="F19" s="28">
        <f>D19*'T3 Inputs'!$B$40</f>
        <v>355148.34439490829</v>
      </c>
      <c r="G19" s="288">
        <f t="shared" si="0"/>
        <v>1794433.7401005891</v>
      </c>
      <c r="H19" s="289">
        <f>G19/((1+'T3 Inputs'!$B$4)^(C19-2016))</f>
        <v>530908.19392577326</v>
      </c>
    </row>
    <row r="20" spans="2:8" x14ac:dyDescent="0.2">
      <c r="B20" s="226">
        <f t="shared" si="1"/>
        <v>16</v>
      </c>
      <c r="C20" s="227">
        <f t="shared" si="2"/>
        <v>2035</v>
      </c>
      <c r="D20" s="37">
        <f>'T4 Globalplex Cargo'!M31</f>
        <v>1869201.8126047803</v>
      </c>
      <c r="E20" s="28">
        <f>D20*'T3 Inputs'!$B$41</f>
        <v>2149582.0844954974</v>
      </c>
      <c r="F20" s="28">
        <f>D20*'T3 Inputs'!$B$40</f>
        <v>355148.34439490829</v>
      </c>
      <c r="G20" s="288">
        <f t="shared" si="0"/>
        <v>1794433.7401005891</v>
      </c>
      <c r="H20" s="289">
        <f>G20/((1+'T3 Inputs'!$B$4)^(C20-2016))</f>
        <v>496175.88217361987</v>
      </c>
    </row>
    <row r="21" spans="2:8" x14ac:dyDescent="0.2">
      <c r="B21" s="226">
        <f t="shared" si="1"/>
        <v>17</v>
      </c>
      <c r="C21" s="227">
        <f t="shared" si="2"/>
        <v>2036</v>
      </c>
      <c r="D21" s="37">
        <f>'T4 Globalplex Cargo'!M32</f>
        <v>1869201.8126047803</v>
      </c>
      <c r="E21" s="28">
        <f>D21*'T3 Inputs'!$B$41</f>
        <v>2149582.0844954974</v>
      </c>
      <c r="F21" s="28">
        <f>D21*'T3 Inputs'!$B$40</f>
        <v>355148.34439490829</v>
      </c>
      <c r="G21" s="288">
        <f t="shared" si="0"/>
        <v>1794433.7401005891</v>
      </c>
      <c r="H21" s="289">
        <f>G21/((1+'T3 Inputs'!$B$4)^(C21-2016))</f>
        <v>463715.77773235505</v>
      </c>
    </row>
    <row r="22" spans="2:8" x14ac:dyDescent="0.2">
      <c r="B22" s="226">
        <f t="shared" si="1"/>
        <v>18</v>
      </c>
      <c r="C22" s="227">
        <f t="shared" si="2"/>
        <v>2037</v>
      </c>
      <c r="D22" s="37">
        <f>'T4 Globalplex Cargo'!M33</f>
        <v>1869201.8126047803</v>
      </c>
      <c r="E22" s="28">
        <f>D22*'T3 Inputs'!$B$41</f>
        <v>2149582.0844954974</v>
      </c>
      <c r="F22" s="28">
        <f>D22*'T3 Inputs'!$B$40</f>
        <v>355148.34439490829</v>
      </c>
      <c r="G22" s="288">
        <f t="shared" si="0"/>
        <v>1794433.7401005891</v>
      </c>
      <c r="H22" s="289">
        <f>G22/((1+'T3 Inputs'!$B$4)^(C22-2016))</f>
        <v>433379.23152556544</v>
      </c>
    </row>
    <row r="23" spans="2:8" x14ac:dyDescent="0.2">
      <c r="B23" s="226">
        <f t="shared" si="1"/>
        <v>19</v>
      </c>
      <c r="C23" s="227">
        <f t="shared" si="2"/>
        <v>2038</v>
      </c>
      <c r="D23" s="37">
        <f>'T4 Globalplex Cargo'!M34</f>
        <v>1869201.8126047803</v>
      </c>
      <c r="E23" s="28">
        <f>D23*'T3 Inputs'!$B$41</f>
        <v>2149582.0844954974</v>
      </c>
      <c r="F23" s="28">
        <f>D23*'T3 Inputs'!$B$40</f>
        <v>355148.34439490829</v>
      </c>
      <c r="G23" s="288">
        <f t="shared" si="0"/>
        <v>1794433.7401005891</v>
      </c>
      <c r="H23" s="289">
        <f>G23/((1+'T3 Inputs'!$B$4)^(C23-2016))</f>
        <v>405027.31918277149</v>
      </c>
    </row>
    <row r="24" spans="2:8" x14ac:dyDescent="0.2">
      <c r="B24" s="226">
        <f t="shared" si="1"/>
        <v>20</v>
      </c>
      <c r="C24" s="227">
        <f t="shared" si="2"/>
        <v>2039</v>
      </c>
      <c r="D24" s="37">
        <f>'T4 Globalplex Cargo'!M35</f>
        <v>1869201.8126047803</v>
      </c>
      <c r="E24" s="28">
        <f>D24*'T3 Inputs'!$B$41</f>
        <v>2149582.0844954974</v>
      </c>
      <c r="F24" s="28">
        <f>D24*'T3 Inputs'!$B$40</f>
        <v>355148.34439490829</v>
      </c>
      <c r="G24" s="288">
        <f t="shared" si="0"/>
        <v>1794433.7401005891</v>
      </c>
      <c r="H24" s="289">
        <f>G24/((1+'T3 Inputs'!$B$4)^(C24-2016))</f>
        <v>378530.20484371163</v>
      </c>
    </row>
    <row r="25" spans="2:8" x14ac:dyDescent="0.2">
      <c r="B25" s="226">
        <f t="shared" si="1"/>
        <v>21</v>
      </c>
      <c r="C25" s="227">
        <f t="shared" si="2"/>
        <v>2040</v>
      </c>
      <c r="D25" s="37">
        <f>'T4 Globalplex Cargo'!M36</f>
        <v>1869201.8126047803</v>
      </c>
      <c r="E25" s="28">
        <f>D25*'T3 Inputs'!$B$41</f>
        <v>2149582.0844954974</v>
      </c>
      <c r="F25" s="28">
        <f>D25*'T3 Inputs'!$B$40</f>
        <v>355148.34439490829</v>
      </c>
      <c r="G25" s="288">
        <f t="shared" si="0"/>
        <v>1794433.7401005891</v>
      </c>
      <c r="H25" s="289">
        <f>G25/((1+'T3 Inputs'!$B$4)^(C25-2016))</f>
        <v>353766.54658290808</v>
      </c>
    </row>
    <row r="26" spans="2:8" x14ac:dyDescent="0.2">
      <c r="B26" s="226">
        <f t="shared" si="1"/>
        <v>22</v>
      </c>
      <c r="C26" s="227">
        <f t="shared" si="2"/>
        <v>2041</v>
      </c>
      <c r="D26" s="37">
        <f>'T4 Globalplex Cargo'!M37</f>
        <v>1869201.8126047803</v>
      </c>
      <c r="E26" s="28">
        <f>D26*'T3 Inputs'!$B$41</f>
        <v>2149582.0844954974</v>
      </c>
      <c r="F26" s="28">
        <f>D26*'T3 Inputs'!$B$40</f>
        <v>355148.34439490829</v>
      </c>
      <c r="G26" s="288">
        <f t="shared" si="0"/>
        <v>1794433.7401005891</v>
      </c>
      <c r="H26" s="289">
        <f>G26/((1+'T3 Inputs'!$B$4)^(C26-2016))</f>
        <v>330622.94073168974</v>
      </c>
    </row>
    <row r="27" spans="2:8" x14ac:dyDescent="0.2">
      <c r="B27" s="226">
        <f t="shared" si="1"/>
        <v>23</v>
      </c>
      <c r="C27" s="227">
        <f t="shared" si="2"/>
        <v>2042</v>
      </c>
      <c r="D27" s="37">
        <f>'T4 Globalplex Cargo'!M38</f>
        <v>1869201.8126047803</v>
      </c>
      <c r="E27" s="28">
        <f>D27*'T3 Inputs'!$B$41</f>
        <v>2149582.0844954974</v>
      </c>
      <c r="F27" s="28">
        <f>D27*'T3 Inputs'!$B$40</f>
        <v>355148.34439490829</v>
      </c>
      <c r="G27" s="288">
        <f t="shared" si="0"/>
        <v>1794433.7401005891</v>
      </c>
      <c r="H27" s="289">
        <f>G27/((1+'T3 Inputs'!$B$4)^(C27-2016))</f>
        <v>308993.4025529811</v>
      </c>
    </row>
    <row r="28" spans="2:8" x14ac:dyDescent="0.2">
      <c r="B28" s="226">
        <f t="shared" si="1"/>
        <v>24</v>
      </c>
      <c r="C28" s="227">
        <f t="shared" si="2"/>
        <v>2043</v>
      </c>
      <c r="D28" s="37">
        <f>'T4 Globalplex Cargo'!M39</f>
        <v>1869201.8126047803</v>
      </c>
      <c r="E28" s="28">
        <f>D28*'T3 Inputs'!$B$41</f>
        <v>2149582.0844954974</v>
      </c>
      <c r="F28" s="28">
        <f>D28*'T3 Inputs'!$B$40</f>
        <v>355148.34439490829</v>
      </c>
      <c r="G28" s="288">
        <f t="shared" si="0"/>
        <v>1794433.7401005891</v>
      </c>
      <c r="H28" s="289">
        <f>G28/((1+'T3 Inputs'!$B$4)^(C28-2016))</f>
        <v>288778.88089063647</v>
      </c>
    </row>
    <row r="29" spans="2:8" x14ac:dyDescent="0.2">
      <c r="B29" s="226">
        <f t="shared" si="1"/>
        <v>25</v>
      </c>
      <c r="C29" s="227">
        <f t="shared" si="2"/>
        <v>2044</v>
      </c>
      <c r="D29" s="37">
        <f>'T4 Globalplex Cargo'!M40</f>
        <v>1869201.8126047803</v>
      </c>
      <c r="E29" s="28">
        <f>D29*'T3 Inputs'!$B$41</f>
        <v>2149582.0844954974</v>
      </c>
      <c r="F29" s="28">
        <f>D29*'T3 Inputs'!$B$40</f>
        <v>355148.34439490829</v>
      </c>
      <c r="G29" s="288">
        <f t="shared" si="0"/>
        <v>1794433.7401005891</v>
      </c>
      <c r="H29" s="289">
        <f>G29/((1+'T3 Inputs'!$B$4)^(C29-2016))</f>
        <v>269886.80457068834</v>
      </c>
    </row>
    <row r="30" spans="2:8" x14ac:dyDescent="0.2">
      <c r="B30" s="226">
        <f t="shared" si="1"/>
        <v>26</v>
      </c>
      <c r="C30" s="227">
        <f t="shared" si="2"/>
        <v>2045</v>
      </c>
      <c r="D30" s="37">
        <f>'T4 Globalplex Cargo'!M41</f>
        <v>1869201.8126047803</v>
      </c>
      <c r="E30" s="28">
        <f>D30*'T3 Inputs'!$B$41</f>
        <v>2149582.0844954974</v>
      </c>
      <c r="F30" s="28">
        <f>D30*'T3 Inputs'!$B$40</f>
        <v>355148.34439490829</v>
      </c>
      <c r="G30" s="288">
        <f t="shared" si="0"/>
        <v>1794433.7401005891</v>
      </c>
      <c r="H30" s="289">
        <f>G30/((1+'T3 Inputs'!$B$4)^(C30-2016))</f>
        <v>252230.65847727883</v>
      </c>
    </row>
    <row r="31" spans="2:8" x14ac:dyDescent="0.2">
      <c r="B31" s="226">
        <f t="shared" si="1"/>
        <v>27</v>
      </c>
      <c r="C31" s="227">
        <f t="shared" si="2"/>
        <v>2046</v>
      </c>
      <c r="D31" s="37">
        <f>'T4 Globalplex Cargo'!M42</f>
        <v>1869201.8126047803</v>
      </c>
      <c r="E31" s="28">
        <f>D31*'T3 Inputs'!$B$41</f>
        <v>2149582.0844954974</v>
      </c>
      <c r="F31" s="28">
        <f>D31*'T3 Inputs'!$B$40</f>
        <v>355148.34439490829</v>
      </c>
      <c r="G31" s="288">
        <f t="shared" si="0"/>
        <v>1794433.7401005891</v>
      </c>
      <c r="H31" s="289">
        <f>G31/((1+'T3 Inputs'!$B$4)^(C31-2016))</f>
        <v>235729.58736194286</v>
      </c>
    </row>
    <row r="32" spans="2:8" x14ac:dyDescent="0.2">
      <c r="B32" s="226">
        <f t="shared" si="1"/>
        <v>28</v>
      </c>
      <c r="C32" s="227">
        <f t="shared" si="2"/>
        <v>2047</v>
      </c>
      <c r="D32" s="37">
        <f>'T4 Globalplex Cargo'!M43</f>
        <v>1869201.8126047803</v>
      </c>
      <c r="E32" s="28">
        <f>D32*'T3 Inputs'!$B$41</f>
        <v>2149582.0844954974</v>
      </c>
      <c r="F32" s="28">
        <f>D32*'T3 Inputs'!$B$40</f>
        <v>355148.34439490829</v>
      </c>
      <c r="G32" s="288">
        <f t="shared" si="0"/>
        <v>1794433.7401005891</v>
      </c>
      <c r="H32" s="289">
        <f>G32/((1+'T3 Inputs'!$B$4)^(C32-2016))</f>
        <v>220308.02557190915</v>
      </c>
    </row>
    <row r="33" spans="2:9" x14ac:dyDescent="0.2">
      <c r="B33" s="226">
        <f t="shared" si="1"/>
        <v>29</v>
      </c>
      <c r="C33" s="227">
        <f t="shared" si="2"/>
        <v>2048</v>
      </c>
      <c r="D33" s="37">
        <f>'T4 Globalplex Cargo'!M44</f>
        <v>1869201.8126047803</v>
      </c>
      <c r="E33" s="28">
        <f>D33*'T3 Inputs'!$B$41</f>
        <v>2149582.0844954974</v>
      </c>
      <c r="F33" s="28">
        <f>D33*'T3 Inputs'!$B$40</f>
        <v>355148.34439490829</v>
      </c>
      <c r="G33" s="288">
        <f t="shared" si="0"/>
        <v>1794433.7401005891</v>
      </c>
      <c r="H33" s="289">
        <f>G33/((1+'T3 Inputs'!$B$4)^(C33-2016))</f>
        <v>205895.35100178429</v>
      </c>
    </row>
    <row r="34" spans="2:9" x14ac:dyDescent="0.2">
      <c r="B34" s="226">
        <f t="shared" si="1"/>
        <v>30</v>
      </c>
      <c r="C34" s="227">
        <f t="shared" si="2"/>
        <v>2049</v>
      </c>
      <c r="D34" s="37">
        <f>'T4 Globalplex Cargo'!M45</f>
        <v>1869201.8126047803</v>
      </c>
      <c r="E34" s="28">
        <f>D34*'T3 Inputs'!$B$41</f>
        <v>2149582.0844954974</v>
      </c>
      <c r="F34" s="28">
        <f>D34*'T3 Inputs'!$B$40</f>
        <v>355148.34439490829</v>
      </c>
      <c r="G34" s="288">
        <f>E34-F34</f>
        <v>1794433.7401005891</v>
      </c>
      <c r="H34" s="289">
        <f>G34/((1+'T3 Inputs'!$B$4)^(C34-2016))</f>
        <v>192425.56168391055</v>
      </c>
    </row>
    <row r="35" spans="2:9" s="204" customFormat="1" ht="13.5" thickBot="1" x14ac:dyDescent="0.25">
      <c r="B35" s="596" t="s">
        <v>0</v>
      </c>
      <c r="C35" s="597"/>
      <c r="D35" s="178">
        <f>SUM(D3:D34)</f>
        <v>58961025.098289311</v>
      </c>
      <c r="E35" s="168">
        <f>SUM(E3:E34)</f>
        <v>67805178.863032758</v>
      </c>
      <c r="F35" s="168">
        <f>SUM(F3:F34)</f>
        <v>14116276.607816849</v>
      </c>
      <c r="G35" s="290">
        <f>SUM(G3:G34)</f>
        <v>53688902.255215906</v>
      </c>
      <c r="H35" s="291">
        <f>SUM(H3:H34)</f>
        <v>18066729.076263748</v>
      </c>
      <c r="I35" s="302"/>
    </row>
    <row r="37" spans="2:9" ht="13.5" thickBot="1" x14ac:dyDescent="0.25"/>
    <row r="38" spans="2:9" ht="51" x14ac:dyDescent="0.2">
      <c r="B38" s="218" t="s">
        <v>130</v>
      </c>
      <c r="C38" s="163" t="s">
        <v>2</v>
      </c>
      <c r="D38" s="163" t="s">
        <v>172</v>
      </c>
      <c r="E38" s="299" t="s">
        <v>280</v>
      </c>
      <c r="F38" s="299" t="s">
        <v>281</v>
      </c>
      <c r="G38" s="300" t="s">
        <v>269</v>
      </c>
      <c r="H38" s="287" t="s">
        <v>282</v>
      </c>
    </row>
    <row r="39" spans="2:9" x14ac:dyDescent="0.2">
      <c r="B39" s="226">
        <v>-1</v>
      </c>
      <c r="C39" s="227">
        <v>2018</v>
      </c>
      <c r="D39" s="37">
        <f t="shared" ref="D39:H48" si="3">ROUND(D3,-3)</f>
        <v>1454000</v>
      </c>
      <c r="E39" s="28">
        <f t="shared" si="3"/>
        <v>1672000</v>
      </c>
      <c r="F39" s="28">
        <f t="shared" si="3"/>
        <v>1672000</v>
      </c>
      <c r="G39" s="288">
        <f t="shared" si="3"/>
        <v>0</v>
      </c>
      <c r="H39" s="289">
        <f t="shared" si="3"/>
        <v>0</v>
      </c>
    </row>
    <row r="40" spans="2:9" x14ac:dyDescent="0.2">
      <c r="B40" s="226">
        <f>B39+1</f>
        <v>0</v>
      </c>
      <c r="C40" s="227">
        <f>C39+1</f>
        <v>2019</v>
      </c>
      <c r="D40" s="37">
        <f t="shared" si="3"/>
        <v>1581000</v>
      </c>
      <c r="E40" s="28">
        <f t="shared" si="3"/>
        <v>1818000</v>
      </c>
      <c r="F40" s="28">
        <f t="shared" si="3"/>
        <v>1818000</v>
      </c>
      <c r="G40" s="288">
        <f t="shared" si="3"/>
        <v>0</v>
      </c>
      <c r="H40" s="289">
        <f t="shared" si="3"/>
        <v>0</v>
      </c>
    </row>
    <row r="41" spans="2:9" x14ac:dyDescent="0.2">
      <c r="B41" s="226">
        <f t="shared" ref="B41:C56" si="4">B40+1</f>
        <v>1</v>
      </c>
      <c r="C41" s="227">
        <f t="shared" si="4"/>
        <v>2020</v>
      </c>
      <c r="D41" s="37">
        <f t="shared" si="3"/>
        <v>1719000</v>
      </c>
      <c r="E41" s="28">
        <f t="shared" si="3"/>
        <v>1977000</v>
      </c>
      <c r="F41" s="28">
        <f t="shared" si="3"/>
        <v>327000</v>
      </c>
      <c r="G41" s="288">
        <f t="shared" si="3"/>
        <v>1650000</v>
      </c>
      <c r="H41" s="289">
        <f t="shared" si="3"/>
        <v>1259000</v>
      </c>
    </row>
    <row r="42" spans="2:9" x14ac:dyDescent="0.2">
      <c r="B42" s="226">
        <f t="shared" si="4"/>
        <v>2</v>
      </c>
      <c r="C42" s="227">
        <f t="shared" si="4"/>
        <v>2021</v>
      </c>
      <c r="D42" s="37">
        <f t="shared" si="3"/>
        <v>1869000</v>
      </c>
      <c r="E42" s="28">
        <f t="shared" si="3"/>
        <v>2150000</v>
      </c>
      <c r="F42" s="28">
        <f t="shared" si="3"/>
        <v>355000</v>
      </c>
      <c r="G42" s="288">
        <f t="shared" si="3"/>
        <v>1794000</v>
      </c>
      <c r="H42" s="289">
        <f t="shared" si="3"/>
        <v>1279000</v>
      </c>
    </row>
    <row r="43" spans="2:9" x14ac:dyDescent="0.2">
      <c r="B43" s="226">
        <f t="shared" si="4"/>
        <v>3</v>
      </c>
      <c r="C43" s="227">
        <f t="shared" si="4"/>
        <v>2022</v>
      </c>
      <c r="D43" s="37">
        <f t="shared" si="3"/>
        <v>1869000</v>
      </c>
      <c r="E43" s="28">
        <f t="shared" si="3"/>
        <v>2150000</v>
      </c>
      <c r="F43" s="28">
        <f t="shared" si="3"/>
        <v>355000</v>
      </c>
      <c r="G43" s="288">
        <f t="shared" si="3"/>
        <v>1794000</v>
      </c>
      <c r="H43" s="289">
        <f t="shared" si="3"/>
        <v>1196000</v>
      </c>
    </row>
    <row r="44" spans="2:9" x14ac:dyDescent="0.2">
      <c r="B44" s="226">
        <f t="shared" si="4"/>
        <v>4</v>
      </c>
      <c r="C44" s="227">
        <f t="shared" si="4"/>
        <v>2023</v>
      </c>
      <c r="D44" s="37">
        <f t="shared" si="3"/>
        <v>1869000</v>
      </c>
      <c r="E44" s="28">
        <f t="shared" si="3"/>
        <v>2150000</v>
      </c>
      <c r="F44" s="28">
        <f t="shared" si="3"/>
        <v>355000</v>
      </c>
      <c r="G44" s="288">
        <f t="shared" si="3"/>
        <v>1794000</v>
      </c>
      <c r="H44" s="289">
        <f t="shared" si="3"/>
        <v>1117000</v>
      </c>
    </row>
    <row r="45" spans="2:9" x14ac:dyDescent="0.2">
      <c r="B45" s="226">
        <f t="shared" si="4"/>
        <v>5</v>
      </c>
      <c r="C45" s="227">
        <f t="shared" si="4"/>
        <v>2024</v>
      </c>
      <c r="D45" s="37">
        <f t="shared" si="3"/>
        <v>1869000</v>
      </c>
      <c r="E45" s="28">
        <f t="shared" si="3"/>
        <v>2150000</v>
      </c>
      <c r="F45" s="28">
        <f t="shared" si="3"/>
        <v>355000</v>
      </c>
      <c r="G45" s="288">
        <f t="shared" si="3"/>
        <v>1794000</v>
      </c>
      <c r="H45" s="289">
        <f t="shared" si="3"/>
        <v>1044000</v>
      </c>
    </row>
    <row r="46" spans="2:9" x14ac:dyDescent="0.2">
      <c r="B46" s="226">
        <f t="shared" si="4"/>
        <v>6</v>
      </c>
      <c r="C46" s="227">
        <f t="shared" si="4"/>
        <v>2025</v>
      </c>
      <c r="D46" s="37">
        <f t="shared" si="3"/>
        <v>1869000</v>
      </c>
      <c r="E46" s="28">
        <f t="shared" si="3"/>
        <v>2150000</v>
      </c>
      <c r="F46" s="28">
        <f t="shared" si="3"/>
        <v>355000</v>
      </c>
      <c r="G46" s="288">
        <f t="shared" si="3"/>
        <v>1794000</v>
      </c>
      <c r="H46" s="289">
        <f t="shared" si="3"/>
        <v>976000</v>
      </c>
    </row>
    <row r="47" spans="2:9" x14ac:dyDescent="0.2">
      <c r="B47" s="226">
        <f t="shared" si="4"/>
        <v>7</v>
      </c>
      <c r="C47" s="227">
        <f t="shared" si="4"/>
        <v>2026</v>
      </c>
      <c r="D47" s="37">
        <f t="shared" si="3"/>
        <v>1869000</v>
      </c>
      <c r="E47" s="28">
        <f t="shared" si="3"/>
        <v>2150000</v>
      </c>
      <c r="F47" s="28">
        <f t="shared" si="3"/>
        <v>355000</v>
      </c>
      <c r="G47" s="288">
        <f t="shared" si="3"/>
        <v>1794000</v>
      </c>
      <c r="H47" s="289">
        <f t="shared" si="3"/>
        <v>912000</v>
      </c>
    </row>
    <row r="48" spans="2:9" x14ac:dyDescent="0.2">
      <c r="B48" s="226">
        <f t="shared" si="4"/>
        <v>8</v>
      </c>
      <c r="C48" s="227">
        <f t="shared" si="4"/>
        <v>2027</v>
      </c>
      <c r="D48" s="37">
        <f t="shared" si="3"/>
        <v>1869000</v>
      </c>
      <c r="E48" s="28">
        <f t="shared" si="3"/>
        <v>2150000</v>
      </c>
      <c r="F48" s="28">
        <f t="shared" si="3"/>
        <v>355000</v>
      </c>
      <c r="G48" s="288">
        <f t="shared" si="3"/>
        <v>1794000</v>
      </c>
      <c r="H48" s="289">
        <f t="shared" si="3"/>
        <v>853000</v>
      </c>
    </row>
    <row r="49" spans="2:8" x14ac:dyDescent="0.2">
      <c r="B49" s="226">
        <f t="shared" si="4"/>
        <v>9</v>
      </c>
      <c r="C49" s="227">
        <f t="shared" si="4"/>
        <v>2028</v>
      </c>
      <c r="D49" s="37">
        <f t="shared" ref="D49:H58" si="5">ROUND(D13,-3)</f>
        <v>1869000</v>
      </c>
      <c r="E49" s="28">
        <f t="shared" si="5"/>
        <v>2150000</v>
      </c>
      <c r="F49" s="28">
        <f t="shared" si="5"/>
        <v>355000</v>
      </c>
      <c r="G49" s="288">
        <f t="shared" si="5"/>
        <v>1794000</v>
      </c>
      <c r="H49" s="289">
        <f t="shared" si="5"/>
        <v>797000</v>
      </c>
    </row>
    <row r="50" spans="2:8" x14ac:dyDescent="0.2">
      <c r="B50" s="226">
        <f t="shared" si="4"/>
        <v>10</v>
      </c>
      <c r="C50" s="227">
        <f t="shared" si="4"/>
        <v>2029</v>
      </c>
      <c r="D50" s="37">
        <f t="shared" si="5"/>
        <v>1869000</v>
      </c>
      <c r="E50" s="28">
        <f t="shared" si="5"/>
        <v>2150000</v>
      </c>
      <c r="F50" s="28">
        <f t="shared" si="5"/>
        <v>355000</v>
      </c>
      <c r="G50" s="288">
        <f t="shared" si="5"/>
        <v>1794000</v>
      </c>
      <c r="H50" s="289">
        <f t="shared" si="5"/>
        <v>745000</v>
      </c>
    </row>
    <row r="51" spans="2:8" x14ac:dyDescent="0.2">
      <c r="B51" s="226">
        <f t="shared" si="4"/>
        <v>11</v>
      </c>
      <c r="C51" s="227">
        <f t="shared" si="4"/>
        <v>2030</v>
      </c>
      <c r="D51" s="37">
        <f t="shared" si="5"/>
        <v>1869000</v>
      </c>
      <c r="E51" s="28">
        <f t="shared" si="5"/>
        <v>2150000</v>
      </c>
      <c r="F51" s="28">
        <f t="shared" si="5"/>
        <v>355000</v>
      </c>
      <c r="G51" s="288">
        <f t="shared" si="5"/>
        <v>1794000</v>
      </c>
      <c r="H51" s="289">
        <f t="shared" si="5"/>
        <v>696000</v>
      </c>
    </row>
    <row r="52" spans="2:8" x14ac:dyDescent="0.2">
      <c r="B52" s="226">
        <f t="shared" si="4"/>
        <v>12</v>
      </c>
      <c r="C52" s="227">
        <f t="shared" si="4"/>
        <v>2031</v>
      </c>
      <c r="D52" s="37">
        <f t="shared" si="5"/>
        <v>1869000</v>
      </c>
      <c r="E52" s="28">
        <f t="shared" si="5"/>
        <v>2150000</v>
      </c>
      <c r="F52" s="28">
        <f t="shared" si="5"/>
        <v>355000</v>
      </c>
      <c r="G52" s="288">
        <f t="shared" si="5"/>
        <v>1794000</v>
      </c>
      <c r="H52" s="289">
        <f t="shared" si="5"/>
        <v>650000</v>
      </c>
    </row>
    <row r="53" spans="2:8" x14ac:dyDescent="0.2">
      <c r="B53" s="226">
        <f t="shared" si="4"/>
        <v>13</v>
      </c>
      <c r="C53" s="227">
        <f t="shared" si="4"/>
        <v>2032</v>
      </c>
      <c r="D53" s="37">
        <f t="shared" si="5"/>
        <v>1869000</v>
      </c>
      <c r="E53" s="28">
        <f t="shared" si="5"/>
        <v>2150000</v>
      </c>
      <c r="F53" s="28">
        <f t="shared" si="5"/>
        <v>355000</v>
      </c>
      <c r="G53" s="288">
        <f t="shared" si="5"/>
        <v>1794000</v>
      </c>
      <c r="H53" s="289">
        <f t="shared" si="5"/>
        <v>608000</v>
      </c>
    </row>
    <row r="54" spans="2:8" x14ac:dyDescent="0.2">
      <c r="B54" s="226">
        <f t="shared" si="4"/>
        <v>14</v>
      </c>
      <c r="C54" s="227">
        <f t="shared" si="4"/>
        <v>2033</v>
      </c>
      <c r="D54" s="37">
        <f t="shared" si="5"/>
        <v>1869000</v>
      </c>
      <c r="E54" s="28">
        <f t="shared" si="5"/>
        <v>2150000</v>
      </c>
      <c r="F54" s="28">
        <f t="shared" si="5"/>
        <v>355000</v>
      </c>
      <c r="G54" s="288">
        <f t="shared" si="5"/>
        <v>1794000</v>
      </c>
      <c r="H54" s="289">
        <f t="shared" si="5"/>
        <v>568000</v>
      </c>
    </row>
    <row r="55" spans="2:8" x14ac:dyDescent="0.2">
      <c r="B55" s="226">
        <f t="shared" si="4"/>
        <v>15</v>
      </c>
      <c r="C55" s="227">
        <f t="shared" si="4"/>
        <v>2034</v>
      </c>
      <c r="D55" s="37">
        <f t="shared" si="5"/>
        <v>1869000</v>
      </c>
      <c r="E55" s="28">
        <f t="shared" si="5"/>
        <v>2150000</v>
      </c>
      <c r="F55" s="28">
        <f t="shared" si="5"/>
        <v>355000</v>
      </c>
      <c r="G55" s="288">
        <f t="shared" si="5"/>
        <v>1794000</v>
      </c>
      <c r="H55" s="289">
        <f t="shared" si="5"/>
        <v>531000</v>
      </c>
    </row>
    <row r="56" spans="2:8" x14ac:dyDescent="0.2">
      <c r="B56" s="226">
        <f t="shared" si="4"/>
        <v>16</v>
      </c>
      <c r="C56" s="227">
        <f t="shared" si="4"/>
        <v>2035</v>
      </c>
      <c r="D56" s="37">
        <f t="shared" si="5"/>
        <v>1869000</v>
      </c>
      <c r="E56" s="28">
        <f t="shared" si="5"/>
        <v>2150000</v>
      </c>
      <c r="F56" s="28">
        <f t="shared" si="5"/>
        <v>355000</v>
      </c>
      <c r="G56" s="288">
        <f t="shared" si="5"/>
        <v>1794000</v>
      </c>
      <c r="H56" s="289">
        <f t="shared" si="5"/>
        <v>496000</v>
      </c>
    </row>
    <row r="57" spans="2:8" x14ac:dyDescent="0.2">
      <c r="B57" s="226">
        <f t="shared" ref="B57:C70" si="6">B56+1</f>
        <v>17</v>
      </c>
      <c r="C57" s="227">
        <f t="shared" si="6"/>
        <v>2036</v>
      </c>
      <c r="D57" s="37">
        <f t="shared" si="5"/>
        <v>1869000</v>
      </c>
      <c r="E57" s="28">
        <f t="shared" si="5"/>
        <v>2150000</v>
      </c>
      <c r="F57" s="28">
        <f t="shared" si="5"/>
        <v>355000</v>
      </c>
      <c r="G57" s="288">
        <f t="shared" si="5"/>
        <v>1794000</v>
      </c>
      <c r="H57" s="289">
        <f t="shared" si="5"/>
        <v>464000</v>
      </c>
    </row>
    <row r="58" spans="2:8" x14ac:dyDescent="0.2">
      <c r="B58" s="226">
        <f t="shared" si="6"/>
        <v>18</v>
      </c>
      <c r="C58" s="227">
        <f t="shared" si="6"/>
        <v>2037</v>
      </c>
      <c r="D58" s="37">
        <f t="shared" si="5"/>
        <v>1869000</v>
      </c>
      <c r="E58" s="28">
        <f t="shared" si="5"/>
        <v>2150000</v>
      </c>
      <c r="F58" s="28">
        <f t="shared" si="5"/>
        <v>355000</v>
      </c>
      <c r="G58" s="288">
        <f t="shared" si="5"/>
        <v>1794000</v>
      </c>
      <c r="H58" s="289">
        <f t="shared" si="5"/>
        <v>433000</v>
      </c>
    </row>
    <row r="59" spans="2:8" x14ac:dyDescent="0.2">
      <c r="B59" s="226">
        <f t="shared" si="6"/>
        <v>19</v>
      </c>
      <c r="C59" s="227">
        <f t="shared" si="6"/>
        <v>2038</v>
      </c>
      <c r="D59" s="37">
        <f t="shared" ref="D59:H68" si="7">ROUND(D23,-3)</f>
        <v>1869000</v>
      </c>
      <c r="E59" s="28">
        <f t="shared" si="7"/>
        <v>2150000</v>
      </c>
      <c r="F59" s="28">
        <f t="shared" si="7"/>
        <v>355000</v>
      </c>
      <c r="G59" s="288">
        <f t="shared" si="7"/>
        <v>1794000</v>
      </c>
      <c r="H59" s="289">
        <f t="shared" si="7"/>
        <v>405000</v>
      </c>
    </row>
    <row r="60" spans="2:8" x14ac:dyDescent="0.2">
      <c r="B60" s="226">
        <f t="shared" si="6"/>
        <v>20</v>
      </c>
      <c r="C60" s="227">
        <f t="shared" si="6"/>
        <v>2039</v>
      </c>
      <c r="D60" s="37">
        <f t="shared" si="7"/>
        <v>1869000</v>
      </c>
      <c r="E60" s="28">
        <f t="shared" si="7"/>
        <v>2150000</v>
      </c>
      <c r="F60" s="28">
        <f t="shared" si="7"/>
        <v>355000</v>
      </c>
      <c r="G60" s="288">
        <f t="shared" si="7"/>
        <v>1794000</v>
      </c>
      <c r="H60" s="289">
        <f t="shared" si="7"/>
        <v>379000</v>
      </c>
    </row>
    <row r="61" spans="2:8" x14ac:dyDescent="0.2">
      <c r="B61" s="226">
        <f t="shared" si="6"/>
        <v>21</v>
      </c>
      <c r="C61" s="227">
        <f t="shared" si="6"/>
        <v>2040</v>
      </c>
      <c r="D61" s="37">
        <f t="shared" si="7"/>
        <v>1869000</v>
      </c>
      <c r="E61" s="28">
        <f t="shared" si="7"/>
        <v>2150000</v>
      </c>
      <c r="F61" s="28">
        <f t="shared" si="7"/>
        <v>355000</v>
      </c>
      <c r="G61" s="288">
        <f t="shared" si="7"/>
        <v>1794000</v>
      </c>
      <c r="H61" s="289">
        <f t="shared" si="7"/>
        <v>354000</v>
      </c>
    </row>
    <row r="62" spans="2:8" x14ac:dyDescent="0.2">
      <c r="B62" s="226">
        <f t="shared" si="6"/>
        <v>22</v>
      </c>
      <c r="C62" s="227">
        <f t="shared" si="6"/>
        <v>2041</v>
      </c>
      <c r="D62" s="37">
        <f t="shared" si="7"/>
        <v>1869000</v>
      </c>
      <c r="E62" s="28">
        <f t="shared" si="7"/>
        <v>2150000</v>
      </c>
      <c r="F62" s="28">
        <f t="shared" si="7"/>
        <v>355000</v>
      </c>
      <c r="G62" s="288">
        <f t="shared" si="7"/>
        <v>1794000</v>
      </c>
      <c r="H62" s="289">
        <f t="shared" si="7"/>
        <v>331000</v>
      </c>
    </row>
    <row r="63" spans="2:8" x14ac:dyDescent="0.2">
      <c r="B63" s="226">
        <f t="shared" si="6"/>
        <v>23</v>
      </c>
      <c r="C63" s="227">
        <f t="shared" si="6"/>
        <v>2042</v>
      </c>
      <c r="D63" s="37">
        <f t="shared" si="7"/>
        <v>1869000</v>
      </c>
      <c r="E63" s="28">
        <f t="shared" si="7"/>
        <v>2150000</v>
      </c>
      <c r="F63" s="28">
        <f t="shared" si="7"/>
        <v>355000</v>
      </c>
      <c r="G63" s="288">
        <f t="shared" si="7"/>
        <v>1794000</v>
      </c>
      <c r="H63" s="289">
        <f t="shared" si="7"/>
        <v>309000</v>
      </c>
    </row>
    <row r="64" spans="2:8" x14ac:dyDescent="0.2">
      <c r="B64" s="226">
        <f t="shared" si="6"/>
        <v>24</v>
      </c>
      <c r="C64" s="227">
        <f t="shared" si="6"/>
        <v>2043</v>
      </c>
      <c r="D64" s="37">
        <f t="shared" si="7"/>
        <v>1869000</v>
      </c>
      <c r="E64" s="28">
        <f t="shared" si="7"/>
        <v>2150000</v>
      </c>
      <c r="F64" s="28">
        <f t="shared" si="7"/>
        <v>355000</v>
      </c>
      <c r="G64" s="288">
        <f t="shared" si="7"/>
        <v>1794000</v>
      </c>
      <c r="H64" s="289">
        <f t="shared" si="7"/>
        <v>289000</v>
      </c>
    </row>
    <row r="65" spans="2:8" x14ac:dyDescent="0.2">
      <c r="B65" s="226">
        <f t="shared" si="6"/>
        <v>25</v>
      </c>
      <c r="C65" s="227">
        <f t="shared" si="6"/>
        <v>2044</v>
      </c>
      <c r="D65" s="37">
        <f t="shared" si="7"/>
        <v>1869000</v>
      </c>
      <c r="E65" s="28">
        <f t="shared" si="7"/>
        <v>2150000</v>
      </c>
      <c r="F65" s="28">
        <f t="shared" si="7"/>
        <v>355000</v>
      </c>
      <c r="G65" s="288">
        <f t="shared" si="7"/>
        <v>1794000</v>
      </c>
      <c r="H65" s="289">
        <f t="shared" si="7"/>
        <v>270000</v>
      </c>
    </row>
    <row r="66" spans="2:8" x14ac:dyDescent="0.2">
      <c r="B66" s="226">
        <f t="shared" si="6"/>
        <v>26</v>
      </c>
      <c r="C66" s="227">
        <f t="shared" si="6"/>
        <v>2045</v>
      </c>
      <c r="D66" s="37">
        <f t="shared" si="7"/>
        <v>1869000</v>
      </c>
      <c r="E66" s="28">
        <f t="shared" si="7"/>
        <v>2150000</v>
      </c>
      <c r="F66" s="28">
        <f t="shared" si="7"/>
        <v>355000</v>
      </c>
      <c r="G66" s="288">
        <f t="shared" si="7"/>
        <v>1794000</v>
      </c>
      <c r="H66" s="289">
        <f t="shared" si="7"/>
        <v>252000</v>
      </c>
    </row>
    <row r="67" spans="2:8" x14ac:dyDescent="0.2">
      <c r="B67" s="226">
        <f t="shared" si="6"/>
        <v>27</v>
      </c>
      <c r="C67" s="227">
        <f t="shared" si="6"/>
        <v>2046</v>
      </c>
      <c r="D67" s="37">
        <f t="shared" si="7"/>
        <v>1869000</v>
      </c>
      <c r="E67" s="28">
        <f t="shared" si="7"/>
        <v>2150000</v>
      </c>
      <c r="F67" s="28">
        <f t="shared" si="7"/>
        <v>355000</v>
      </c>
      <c r="G67" s="288">
        <f t="shared" si="7"/>
        <v>1794000</v>
      </c>
      <c r="H67" s="289">
        <f t="shared" si="7"/>
        <v>236000</v>
      </c>
    </row>
    <row r="68" spans="2:8" x14ac:dyDescent="0.2">
      <c r="B68" s="226">
        <f t="shared" si="6"/>
        <v>28</v>
      </c>
      <c r="C68" s="227">
        <f t="shared" si="6"/>
        <v>2047</v>
      </c>
      <c r="D68" s="37">
        <f t="shared" si="7"/>
        <v>1869000</v>
      </c>
      <c r="E68" s="28">
        <f t="shared" si="7"/>
        <v>2150000</v>
      </c>
      <c r="F68" s="28">
        <f t="shared" si="7"/>
        <v>355000</v>
      </c>
      <c r="G68" s="288">
        <f t="shared" si="7"/>
        <v>1794000</v>
      </c>
      <c r="H68" s="289">
        <f t="shared" si="7"/>
        <v>220000</v>
      </c>
    </row>
    <row r="69" spans="2:8" x14ac:dyDescent="0.2">
      <c r="B69" s="226">
        <f t="shared" si="6"/>
        <v>29</v>
      </c>
      <c r="C69" s="227">
        <f t="shared" si="6"/>
        <v>2048</v>
      </c>
      <c r="D69" s="37">
        <f t="shared" ref="D69:H71" si="8">ROUND(D33,-3)</f>
        <v>1869000</v>
      </c>
      <c r="E69" s="28">
        <f t="shared" si="8"/>
        <v>2150000</v>
      </c>
      <c r="F69" s="28">
        <f t="shared" si="8"/>
        <v>355000</v>
      </c>
      <c r="G69" s="288">
        <f t="shared" si="8"/>
        <v>1794000</v>
      </c>
      <c r="H69" s="289">
        <f t="shared" si="8"/>
        <v>206000</v>
      </c>
    </row>
    <row r="70" spans="2:8" x14ac:dyDescent="0.2">
      <c r="B70" s="226">
        <f t="shared" si="6"/>
        <v>30</v>
      </c>
      <c r="C70" s="227">
        <f t="shared" si="6"/>
        <v>2049</v>
      </c>
      <c r="D70" s="37">
        <f t="shared" si="8"/>
        <v>1869000</v>
      </c>
      <c r="E70" s="28">
        <f t="shared" si="8"/>
        <v>2150000</v>
      </c>
      <c r="F70" s="28">
        <f t="shared" si="8"/>
        <v>355000</v>
      </c>
      <c r="G70" s="288">
        <f t="shared" si="8"/>
        <v>1794000</v>
      </c>
      <c r="H70" s="289">
        <f t="shared" si="8"/>
        <v>192000</v>
      </c>
    </row>
    <row r="71" spans="2:8" ht="13.5" thickBot="1" x14ac:dyDescent="0.25">
      <c r="B71" s="596" t="s">
        <v>0</v>
      </c>
      <c r="C71" s="597"/>
      <c r="D71" s="178">
        <f t="shared" si="8"/>
        <v>58961000</v>
      </c>
      <c r="E71" s="168">
        <f t="shared" si="8"/>
        <v>67805000</v>
      </c>
      <c r="F71" s="168">
        <f t="shared" si="8"/>
        <v>14116000</v>
      </c>
      <c r="G71" s="290">
        <f t="shared" si="8"/>
        <v>53689000</v>
      </c>
      <c r="H71" s="291">
        <f t="shared" si="8"/>
        <v>18067000</v>
      </c>
    </row>
  </sheetData>
  <mergeCells count="2">
    <mergeCell ref="B35:C35"/>
    <mergeCell ref="B71:C71"/>
  </mergeCells>
  <pageMargins left="0.7" right="0.7" top="0.75" bottom="0.75" header="0.3" footer="0.3"/>
  <pageSetup orientation="portrait" verticalDpi="0" r:id="rId1"/>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pane xSplit="2" topLeftCell="C1" activePane="topRight" state="frozen"/>
      <selection pane="topRight"/>
    </sheetView>
  </sheetViews>
  <sheetFormatPr defaultRowHeight="12" x14ac:dyDescent="0.2"/>
  <cols>
    <col min="1" max="2" width="8.7109375" style="236" customWidth="1"/>
    <col min="3" max="6" width="12.7109375" style="236" customWidth="1"/>
    <col min="7" max="7" width="12.7109375" style="239" customWidth="1"/>
    <col min="8" max="16384" width="9.140625" style="236"/>
  </cols>
  <sheetData>
    <row r="1" spans="1:7" s="244" customFormat="1" ht="48" x14ac:dyDescent="0.2">
      <c r="A1" s="303" t="s">
        <v>130</v>
      </c>
      <c r="B1" s="101" t="s">
        <v>2</v>
      </c>
      <c r="C1" s="101" t="s">
        <v>174</v>
      </c>
      <c r="D1" s="101" t="s">
        <v>283</v>
      </c>
      <c r="E1" s="101" t="s">
        <v>175</v>
      </c>
      <c r="F1" s="101" t="s">
        <v>176</v>
      </c>
      <c r="G1" s="304" t="s">
        <v>177</v>
      </c>
    </row>
    <row r="2" spans="1:7" x14ac:dyDescent="0.2">
      <c r="A2" s="257">
        <v>-1</v>
      </c>
      <c r="B2" s="71">
        <v>2018</v>
      </c>
      <c r="C2" s="7">
        <f>'T4 Globalplex Cargo'!M14</f>
        <v>1454056.8824204358</v>
      </c>
      <c r="D2" s="50">
        <f>C2*'T3 Inputs'!$B$43</f>
        <v>683406.73473760474</v>
      </c>
      <c r="E2" s="7">
        <f>D2</f>
        <v>683406.73473760474</v>
      </c>
      <c r="F2" s="7">
        <f>D2-E2</f>
        <v>0</v>
      </c>
      <c r="G2" s="305">
        <f>F2/((1+'T3 Inputs'!$B$4)^(B2-2016))</f>
        <v>0</v>
      </c>
    </row>
    <row r="3" spans="1:7" x14ac:dyDescent="0.2">
      <c r="A3" s="257">
        <f>A2+1</f>
        <v>0</v>
      </c>
      <c r="B3" s="70">
        <f>B2+1</f>
        <v>2019</v>
      </c>
      <c r="C3" s="7">
        <f>'T4 Globalplex Cargo'!M15</f>
        <v>1581028.3666856978</v>
      </c>
      <c r="D3" s="50">
        <f>C3*'T3 Inputs'!$B$43</f>
        <v>743083.33234227798</v>
      </c>
      <c r="E3" s="7">
        <f>D3</f>
        <v>743083.33234227798</v>
      </c>
      <c r="F3" s="7">
        <f t="shared" ref="F3:F33" si="0">D3-E3</f>
        <v>0</v>
      </c>
      <c r="G3" s="305">
        <f>F3/((1+'T3 Inputs'!$B$4)^(B3-2016))</f>
        <v>0</v>
      </c>
    </row>
    <row r="4" spans="1:7" x14ac:dyDescent="0.2">
      <c r="A4" s="257">
        <f t="shared" ref="A4:A33" si="1">A3+1</f>
        <v>1</v>
      </c>
      <c r="B4" s="70">
        <f t="shared" ref="B4:B33" si="2">B3+1</f>
        <v>2020</v>
      </c>
      <c r="C4" s="7">
        <f>'T4 Globalplex Cargo'!M16</f>
        <v>1719087.2836445745</v>
      </c>
      <c r="D4" s="50">
        <f>C4*'T3 Inputs'!$B$43</f>
        <v>807971.02331294992</v>
      </c>
      <c r="E4" s="7">
        <f>C4*'T3 Inputs'!$B$42</f>
        <v>257863.09254668615</v>
      </c>
      <c r="F4" s="7">
        <f t="shared" si="0"/>
        <v>550107.93076626374</v>
      </c>
      <c r="G4" s="305">
        <f>F4/((1+'T3 Inputs'!$B$4)^(B4-2016))</f>
        <v>419674.70649095409</v>
      </c>
    </row>
    <row r="5" spans="1:7" x14ac:dyDescent="0.2">
      <c r="A5" s="257">
        <f t="shared" si="1"/>
        <v>2</v>
      </c>
      <c r="B5" s="70">
        <f t="shared" si="2"/>
        <v>2021</v>
      </c>
      <c r="C5" s="8">
        <f>'T4 Globalplex Cargo'!M17</f>
        <v>1869201.8126047803</v>
      </c>
      <c r="D5" s="50">
        <f>C5*'T3 Inputs'!$B$43</f>
        <v>878524.85192424664</v>
      </c>
      <c r="E5" s="44">
        <f>C5*'T3 Inputs'!$B$42</f>
        <v>280380.27189071703</v>
      </c>
      <c r="F5" s="45">
        <f t="shared" si="0"/>
        <v>598144.58003352955</v>
      </c>
      <c r="G5" s="305">
        <f>F5/((1+'T3 Inputs'!$B$4)^(B5-2016))</f>
        <v>426468.81889696955</v>
      </c>
    </row>
    <row r="6" spans="1:7" x14ac:dyDescent="0.2">
      <c r="A6" s="257">
        <f t="shared" si="1"/>
        <v>3</v>
      </c>
      <c r="B6" s="70">
        <f t="shared" si="2"/>
        <v>2022</v>
      </c>
      <c r="C6" s="8">
        <f>'T4 Globalplex Cargo'!M18</f>
        <v>1869201.8126047803</v>
      </c>
      <c r="D6" s="50">
        <f>C6*'T3 Inputs'!$B$43</f>
        <v>878524.85192424664</v>
      </c>
      <c r="E6" s="44">
        <f>C6*'T3 Inputs'!$B$42</f>
        <v>280380.27189071703</v>
      </c>
      <c r="F6" s="45">
        <f t="shared" si="0"/>
        <v>598144.58003352955</v>
      </c>
      <c r="G6" s="305">
        <f>F6/((1+'T3 Inputs'!$B$4)^(B6-2016))</f>
        <v>398568.98962333606</v>
      </c>
    </row>
    <row r="7" spans="1:7" x14ac:dyDescent="0.2">
      <c r="A7" s="257">
        <f t="shared" si="1"/>
        <v>4</v>
      </c>
      <c r="B7" s="70">
        <f t="shared" si="2"/>
        <v>2023</v>
      </c>
      <c r="C7" s="8">
        <f>'T4 Globalplex Cargo'!M19</f>
        <v>1869201.8126047803</v>
      </c>
      <c r="D7" s="50">
        <f>C7*'T3 Inputs'!$B$43</f>
        <v>878524.85192424664</v>
      </c>
      <c r="E7" s="44">
        <f>C7*'T3 Inputs'!$B$42</f>
        <v>280380.27189071703</v>
      </c>
      <c r="F7" s="45">
        <f t="shared" si="0"/>
        <v>598144.58003352955</v>
      </c>
      <c r="G7" s="305">
        <f>F7/((1+'T3 Inputs'!$B$4)^(B7-2016))</f>
        <v>372494.38282554765</v>
      </c>
    </row>
    <row r="8" spans="1:7" x14ac:dyDescent="0.2">
      <c r="A8" s="257">
        <f t="shared" si="1"/>
        <v>5</v>
      </c>
      <c r="B8" s="70">
        <f t="shared" si="2"/>
        <v>2024</v>
      </c>
      <c r="C8" s="8">
        <f>'T4 Globalplex Cargo'!M20</f>
        <v>1869201.8126047803</v>
      </c>
      <c r="D8" s="50">
        <f>C8*'T3 Inputs'!$B$43</f>
        <v>878524.85192424664</v>
      </c>
      <c r="E8" s="44">
        <f>C8*'T3 Inputs'!$B$42</f>
        <v>280380.27189071703</v>
      </c>
      <c r="F8" s="45">
        <f t="shared" si="0"/>
        <v>598144.58003352955</v>
      </c>
      <c r="G8" s="305">
        <f>F8/((1+'T3 Inputs'!$B$4)^(B8-2016))</f>
        <v>348125.59142574552</v>
      </c>
    </row>
    <row r="9" spans="1:7" x14ac:dyDescent="0.2">
      <c r="A9" s="257">
        <f t="shared" si="1"/>
        <v>6</v>
      </c>
      <c r="B9" s="70">
        <f t="shared" si="2"/>
        <v>2025</v>
      </c>
      <c r="C9" s="8">
        <f>'T4 Globalplex Cargo'!M21</f>
        <v>1869201.8126047803</v>
      </c>
      <c r="D9" s="50">
        <f>C9*'T3 Inputs'!$B$43</f>
        <v>878524.85192424664</v>
      </c>
      <c r="E9" s="44">
        <f>C9*'T3 Inputs'!$B$42</f>
        <v>280380.27189071703</v>
      </c>
      <c r="F9" s="45">
        <f t="shared" si="0"/>
        <v>598144.58003352955</v>
      </c>
      <c r="G9" s="305">
        <f>F9/((1+'T3 Inputs'!$B$4)^(B9-2016))</f>
        <v>325351.0200240612</v>
      </c>
    </row>
    <row r="10" spans="1:7" x14ac:dyDescent="0.2">
      <c r="A10" s="257">
        <f t="shared" si="1"/>
        <v>7</v>
      </c>
      <c r="B10" s="70">
        <f t="shared" si="2"/>
        <v>2026</v>
      </c>
      <c r="C10" s="8">
        <f>'T4 Globalplex Cargo'!M22</f>
        <v>1869201.8126047803</v>
      </c>
      <c r="D10" s="50">
        <f>C10*'T3 Inputs'!$B$43</f>
        <v>878524.85192424664</v>
      </c>
      <c r="E10" s="44">
        <f>C10*'T3 Inputs'!$B$42</f>
        <v>280380.27189071703</v>
      </c>
      <c r="F10" s="45">
        <f t="shared" si="0"/>
        <v>598144.58003352955</v>
      </c>
      <c r="G10" s="305">
        <f>F10/((1+'T3 Inputs'!$B$4)^(B10-2016))</f>
        <v>304066.37385426281</v>
      </c>
    </row>
    <row r="11" spans="1:7" x14ac:dyDescent="0.2">
      <c r="A11" s="257">
        <f t="shared" si="1"/>
        <v>8</v>
      </c>
      <c r="B11" s="70">
        <f t="shared" si="2"/>
        <v>2027</v>
      </c>
      <c r="C11" s="8">
        <f>'T4 Globalplex Cargo'!M23</f>
        <v>1869201.8126047803</v>
      </c>
      <c r="D11" s="50">
        <f>C11*'T3 Inputs'!$B$43</f>
        <v>878524.85192424664</v>
      </c>
      <c r="E11" s="44">
        <f>C11*'T3 Inputs'!$B$42</f>
        <v>280380.27189071703</v>
      </c>
      <c r="F11" s="45">
        <f t="shared" si="0"/>
        <v>598144.58003352955</v>
      </c>
      <c r="G11" s="305">
        <f>F11/((1+'T3 Inputs'!$B$4)^(B11-2016))</f>
        <v>284174.18117220816</v>
      </c>
    </row>
    <row r="12" spans="1:7" x14ac:dyDescent="0.2">
      <c r="A12" s="257">
        <f t="shared" si="1"/>
        <v>9</v>
      </c>
      <c r="B12" s="70">
        <f t="shared" si="2"/>
        <v>2028</v>
      </c>
      <c r="C12" s="8">
        <f>'T4 Globalplex Cargo'!M24</f>
        <v>1869201.8126047803</v>
      </c>
      <c r="D12" s="50">
        <f>C12*'T3 Inputs'!$B$43</f>
        <v>878524.85192424664</v>
      </c>
      <c r="E12" s="44">
        <f>C12*'T3 Inputs'!$B$42</f>
        <v>280380.27189071703</v>
      </c>
      <c r="F12" s="45">
        <f t="shared" si="0"/>
        <v>598144.58003352955</v>
      </c>
      <c r="G12" s="305">
        <f>F12/((1+'T3 Inputs'!$B$4)^(B12-2016))</f>
        <v>265583.34688991425</v>
      </c>
    </row>
    <row r="13" spans="1:7" x14ac:dyDescent="0.2">
      <c r="A13" s="257">
        <f t="shared" si="1"/>
        <v>10</v>
      </c>
      <c r="B13" s="70">
        <f t="shared" si="2"/>
        <v>2029</v>
      </c>
      <c r="C13" s="8">
        <f>'T4 Globalplex Cargo'!M25</f>
        <v>1869201.8126047803</v>
      </c>
      <c r="D13" s="50">
        <f>C13*'T3 Inputs'!$B$43</f>
        <v>878524.85192424664</v>
      </c>
      <c r="E13" s="44">
        <f>C13*'T3 Inputs'!$B$42</f>
        <v>280380.27189071703</v>
      </c>
      <c r="F13" s="45">
        <f t="shared" si="0"/>
        <v>598144.58003352955</v>
      </c>
      <c r="G13" s="305">
        <f>F13/((1+'T3 Inputs'!$B$4)^(B13-2016))</f>
        <v>248208.73541113478</v>
      </c>
    </row>
    <row r="14" spans="1:7" x14ac:dyDescent="0.2">
      <c r="A14" s="257">
        <f t="shared" si="1"/>
        <v>11</v>
      </c>
      <c r="B14" s="70">
        <f t="shared" si="2"/>
        <v>2030</v>
      </c>
      <c r="C14" s="8">
        <f>'T4 Globalplex Cargo'!M26</f>
        <v>1869201.8126047803</v>
      </c>
      <c r="D14" s="50">
        <f>C14*'T3 Inputs'!$B$43</f>
        <v>878524.85192424664</v>
      </c>
      <c r="E14" s="44">
        <f>C14*'T3 Inputs'!$B$42</f>
        <v>280380.27189071703</v>
      </c>
      <c r="F14" s="45">
        <f t="shared" si="0"/>
        <v>598144.58003352955</v>
      </c>
      <c r="G14" s="305">
        <f>F14/((1+'T3 Inputs'!$B$4)^(B14-2016))</f>
        <v>231970.78075806992</v>
      </c>
    </row>
    <row r="15" spans="1:7" x14ac:dyDescent="0.2">
      <c r="A15" s="257">
        <f t="shared" si="1"/>
        <v>12</v>
      </c>
      <c r="B15" s="70">
        <f t="shared" si="2"/>
        <v>2031</v>
      </c>
      <c r="C15" s="8">
        <f>'T4 Globalplex Cargo'!M27</f>
        <v>1869201.8126047803</v>
      </c>
      <c r="D15" s="50">
        <f>C15*'T3 Inputs'!$B$43</f>
        <v>878524.85192424664</v>
      </c>
      <c r="E15" s="44">
        <f>C15*'T3 Inputs'!$B$42</f>
        <v>280380.27189071703</v>
      </c>
      <c r="F15" s="45">
        <f t="shared" si="0"/>
        <v>598144.58003352955</v>
      </c>
      <c r="G15" s="305">
        <f>F15/((1+'T3 Inputs'!$B$4)^(B15-2016))</f>
        <v>216795.12220380362</v>
      </c>
    </row>
    <row r="16" spans="1:7" x14ac:dyDescent="0.2">
      <c r="A16" s="257">
        <f t="shared" si="1"/>
        <v>13</v>
      </c>
      <c r="B16" s="70">
        <f t="shared" si="2"/>
        <v>2032</v>
      </c>
      <c r="C16" s="8">
        <f>'T4 Globalplex Cargo'!M28</f>
        <v>1869201.8126047803</v>
      </c>
      <c r="D16" s="50">
        <f>C16*'T3 Inputs'!$B$43</f>
        <v>878524.85192424664</v>
      </c>
      <c r="E16" s="44">
        <f>C16*'T3 Inputs'!$B$42</f>
        <v>280380.27189071703</v>
      </c>
      <c r="F16" s="45">
        <f t="shared" si="0"/>
        <v>598144.58003352955</v>
      </c>
      <c r="G16" s="305">
        <f>F16/((1+'T3 Inputs'!$B$4)^(B16-2016))</f>
        <v>202612.26374187256</v>
      </c>
    </row>
    <row r="17" spans="1:7" x14ac:dyDescent="0.2">
      <c r="A17" s="257">
        <f t="shared" si="1"/>
        <v>14</v>
      </c>
      <c r="B17" s="70">
        <f t="shared" si="2"/>
        <v>2033</v>
      </c>
      <c r="C17" s="8">
        <f>'T4 Globalplex Cargo'!M29</f>
        <v>1869201.8126047803</v>
      </c>
      <c r="D17" s="50">
        <f>C17*'T3 Inputs'!$B$43</f>
        <v>878524.85192424664</v>
      </c>
      <c r="E17" s="44">
        <f>C17*'T3 Inputs'!$B$42</f>
        <v>280380.27189071703</v>
      </c>
      <c r="F17" s="45">
        <f t="shared" si="0"/>
        <v>598144.58003352955</v>
      </c>
      <c r="G17" s="305">
        <f>F17/((1+'T3 Inputs'!$B$4)^(B17-2016))</f>
        <v>189357.25583352576</v>
      </c>
    </row>
    <row r="18" spans="1:7" x14ac:dyDescent="0.2">
      <c r="A18" s="257">
        <f t="shared" si="1"/>
        <v>15</v>
      </c>
      <c r="B18" s="70">
        <f t="shared" si="2"/>
        <v>2034</v>
      </c>
      <c r="C18" s="8">
        <f>'T4 Globalplex Cargo'!M30</f>
        <v>1869201.8126047803</v>
      </c>
      <c r="D18" s="50">
        <f>C18*'T3 Inputs'!$B$43</f>
        <v>878524.85192424664</v>
      </c>
      <c r="E18" s="44">
        <f>C18*'T3 Inputs'!$B$42</f>
        <v>280380.27189071703</v>
      </c>
      <c r="F18" s="45">
        <f t="shared" si="0"/>
        <v>598144.58003352955</v>
      </c>
      <c r="G18" s="305">
        <f>F18/((1+'T3 Inputs'!$B$4)^(B18-2016))</f>
        <v>176969.39797525771</v>
      </c>
    </row>
    <row r="19" spans="1:7" x14ac:dyDescent="0.2">
      <c r="A19" s="257">
        <f t="shared" si="1"/>
        <v>16</v>
      </c>
      <c r="B19" s="70">
        <f t="shared" si="2"/>
        <v>2035</v>
      </c>
      <c r="C19" s="8">
        <f>'T4 Globalplex Cargo'!M31</f>
        <v>1869201.8126047803</v>
      </c>
      <c r="D19" s="50">
        <f>C19*'T3 Inputs'!$B$43</f>
        <v>878524.85192424664</v>
      </c>
      <c r="E19" s="44">
        <f>C19*'T3 Inputs'!$B$42</f>
        <v>280380.27189071703</v>
      </c>
      <c r="F19" s="45">
        <f t="shared" si="0"/>
        <v>598144.58003352955</v>
      </c>
      <c r="G19" s="305">
        <f>F19/((1+'T3 Inputs'!$B$4)^(B19-2016))</f>
        <v>165391.96072453991</v>
      </c>
    </row>
    <row r="20" spans="1:7" x14ac:dyDescent="0.2">
      <c r="A20" s="257">
        <f t="shared" si="1"/>
        <v>17</v>
      </c>
      <c r="B20" s="70">
        <f t="shared" si="2"/>
        <v>2036</v>
      </c>
      <c r="C20" s="8">
        <f>'T4 Globalplex Cargo'!M32</f>
        <v>1869201.8126047803</v>
      </c>
      <c r="D20" s="50">
        <f>C20*'T3 Inputs'!$B$43</f>
        <v>878524.85192424664</v>
      </c>
      <c r="E20" s="44">
        <f>C20*'T3 Inputs'!$B$42</f>
        <v>280380.27189071703</v>
      </c>
      <c r="F20" s="45">
        <f t="shared" si="0"/>
        <v>598144.58003352955</v>
      </c>
      <c r="G20" s="305">
        <f>F20/((1+'T3 Inputs'!$B$4)^(B20-2016))</f>
        <v>154571.92591078498</v>
      </c>
    </row>
    <row r="21" spans="1:7" x14ac:dyDescent="0.2">
      <c r="A21" s="257">
        <f t="shared" si="1"/>
        <v>18</v>
      </c>
      <c r="B21" s="70">
        <f t="shared" si="2"/>
        <v>2037</v>
      </c>
      <c r="C21" s="8">
        <f>'T4 Globalplex Cargo'!M33</f>
        <v>1869201.8126047803</v>
      </c>
      <c r="D21" s="50">
        <f>C21*'T3 Inputs'!$B$43</f>
        <v>878524.85192424664</v>
      </c>
      <c r="E21" s="44">
        <f>C21*'T3 Inputs'!$B$42</f>
        <v>280380.27189071703</v>
      </c>
      <c r="F21" s="45">
        <f t="shared" si="0"/>
        <v>598144.58003352955</v>
      </c>
      <c r="G21" s="305">
        <f>F21/((1+'T3 Inputs'!$B$4)^(B21-2016))</f>
        <v>144459.74384185512</v>
      </c>
    </row>
    <row r="22" spans="1:7" x14ac:dyDescent="0.2">
      <c r="A22" s="257">
        <f t="shared" si="1"/>
        <v>19</v>
      </c>
      <c r="B22" s="70">
        <f t="shared" si="2"/>
        <v>2038</v>
      </c>
      <c r="C22" s="8">
        <f>'T4 Globalplex Cargo'!M34</f>
        <v>1869201.8126047803</v>
      </c>
      <c r="D22" s="50">
        <f>C22*'T3 Inputs'!$B$43</f>
        <v>878524.85192424664</v>
      </c>
      <c r="E22" s="44">
        <f>C22*'T3 Inputs'!$B$42</f>
        <v>280380.27189071703</v>
      </c>
      <c r="F22" s="45">
        <f t="shared" si="0"/>
        <v>598144.58003352955</v>
      </c>
      <c r="G22" s="305">
        <f>F22/((1+'T3 Inputs'!$B$4)^(B22-2016))</f>
        <v>135009.10639425713</v>
      </c>
    </row>
    <row r="23" spans="1:7" x14ac:dyDescent="0.2">
      <c r="A23" s="257">
        <f t="shared" si="1"/>
        <v>20</v>
      </c>
      <c r="B23" s="70">
        <f t="shared" si="2"/>
        <v>2039</v>
      </c>
      <c r="C23" s="8">
        <f>'T4 Globalplex Cargo'!M35</f>
        <v>1869201.8126047803</v>
      </c>
      <c r="D23" s="50">
        <f>C23*'T3 Inputs'!$B$43</f>
        <v>878524.85192424664</v>
      </c>
      <c r="E23" s="44">
        <f>C23*'T3 Inputs'!$B$42</f>
        <v>280380.27189071703</v>
      </c>
      <c r="F23" s="45">
        <f t="shared" si="0"/>
        <v>598144.58003352955</v>
      </c>
      <c r="G23" s="158">
        <f>F23/((1+'T3 Inputs'!$B$4)^(B23-2016))</f>
        <v>126176.73494790385</v>
      </c>
    </row>
    <row r="24" spans="1:7" x14ac:dyDescent="0.2">
      <c r="A24" s="257">
        <f t="shared" si="1"/>
        <v>21</v>
      </c>
      <c r="B24" s="70">
        <f t="shared" si="2"/>
        <v>2040</v>
      </c>
      <c r="C24" s="8">
        <f>'T4 Globalplex Cargo'!M36</f>
        <v>1869201.8126047803</v>
      </c>
      <c r="D24" s="50">
        <f>C24*'T3 Inputs'!$B$43</f>
        <v>878524.85192424664</v>
      </c>
      <c r="E24" s="44">
        <f>C24*'T3 Inputs'!$B$42</f>
        <v>280380.27189071703</v>
      </c>
      <c r="F24" s="45">
        <f t="shared" si="0"/>
        <v>598144.58003352955</v>
      </c>
      <c r="G24" s="158">
        <f>F24/((1+'T3 Inputs'!$B$4)^(B24-2016))</f>
        <v>117922.18219430266</v>
      </c>
    </row>
    <row r="25" spans="1:7" x14ac:dyDescent="0.2">
      <c r="A25" s="257">
        <f t="shared" si="1"/>
        <v>22</v>
      </c>
      <c r="B25" s="70">
        <f t="shared" si="2"/>
        <v>2041</v>
      </c>
      <c r="C25" s="8">
        <f>'T4 Globalplex Cargo'!M37</f>
        <v>1869201.8126047803</v>
      </c>
      <c r="D25" s="50">
        <f>C25*'T3 Inputs'!$B$43</f>
        <v>878524.85192424664</v>
      </c>
      <c r="E25" s="44">
        <f>C25*'T3 Inputs'!$B$42</f>
        <v>280380.27189071703</v>
      </c>
      <c r="F25" s="45">
        <f t="shared" si="0"/>
        <v>598144.58003352955</v>
      </c>
      <c r="G25" s="158">
        <f>F25/((1+'T3 Inputs'!$B$4)^(B25-2016))</f>
        <v>110207.64691056323</v>
      </c>
    </row>
    <row r="26" spans="1:7" x14ac:dyDescent="0.2">
      <c r="A26" s="257">
        <f t="shared" si="1"/>
        <v>23</v>
      </c>
      <c r="B26" s="70">
        <f t="shared" si="2"/>
        <v>2042</v>
      </c>
      <c r="C26" s="8">
        <f>'T4 Globalplex Cargo'!M38</f>
        <v>1869201.8126047803</v>
      </c>
      <c r="D26" s="50">
        <f>C26*'T3 Inputs'!$B$43</f>
        <v>878524.85192424664</v>
      </c>
      <c r="E26" s="44">
        <f>C26*'T3 Inputs'!$B$42</f>
        <v>280380.27189071703</v>
      </c>
      <c r="F26" s="45">
        <f t="shared" si="0"/>
        <v>598144.58003352955</v>
      </c>
      <c r="G26" s="158">
        <f>F26/((1+'T3 Inputs'!$B$4)^(B26-2016))</f>
        <v>102997.80085099368</v>
      </c>
    </row>
    <row r="27" spans="1:7" x14ac:dyDescent="0.2">
      <c r="A27" s="257">
        <f t="shared" si="1"/>
        <v>24</v>
      </c>
      <c r="B27" s="70">
        <f t="shared" si="2"/>
        <v>2043</v>
      </c>
      <c r="C27" s="8">
        <f>'T4 Globalplex Cargo'!M39</f>
        <v>1869201.8126047803</v>
      </c>
      <c r="D27" s="50">
        <f>C27*'T3 Inputs'!$B$43</f>
        <v>878524.85192424664</v>
      </c>
      <c r="E27" s="44">
        <f>C27*'T3 Inputs'!$B$42</f>
        <v>280380.27189071703</v>
      </c>
      <c r="F27" s="45">
        <f t="shared" si="0"/>
        <v>598144.58003352955</v>
      </c>
      <c r="G27" s="158">
        <f>F27/((1+'T3 Inputs'!$B$4)^(B27-2016))</f>
        <v>96259.626963545466</v>
      </c>
    </row>
    <row r="28" spans="1:7" x14ac:dyDescent="0.2">
      <c r="A28" s="257">
        <f t="shared" si="1"/>
        <v>25</v>
      </c>
      <c r="B28" s="70">
        <f t="shared" si="2"/>
        <v>2044</v>
      </c>
      <c r="C28" s="8">
        <f>'T4 Globalplex Cargo'!M40</f>
        <v>1869201.8126047803</v>
      </c>
      <c r="D28" s="50">
        <f>C28*'T3 Inputs'!$B$43</f>
        <v>878524.85192424664</v>
      </c>
      <c r="E28" s="44">
        <f>C28*'T3 Inputs'!$B$42</f>
        <v>280380.27189071703</v>
      </c>
      <c r="F28" s="45">
        <f t="shared" si="0"/>
        <v>598144.58003352955</v>
      </c>
      <c r="G28" s="158">
        <f>F28/((1+'T3 Inputs'!$B$4)^(B28-2016))</f>
        <v>89962.268190229428</v>
      </c>
    </row>
    <row r="29" spans="1:7" x14ac:dyDescent="0.2">
      <c r="A29" s="257">
        <f t="shared" si="1"/>
        <v>26</v>
      </c>
      <c r="B29" s="70">
        <f t="shared" si="2"/>
        <v>2045</v>
      </c>
      <c r="C29" s="8">
        <f>'T4 Globalplex Cargo'!M41</f>
        <v>1869201.8126047803</v>
      </c>
      <c r="D29" s="50">
        <f>C29*'T3 Inputs'!$B$43</f>
        <v>878524.85192424664</v>
      </c>
      <c r="E29" s="44">
        <f>C29*'T3 Inputs'!$B$42</f>
        <v>280380.27189071703</v>
      </c>
      <c r="F29" s="45">
        <f t="shared" si="0"/>
        <v>598144.58003352955</v>
      </c>
      <c r="G29" s="158">
        <f>F29/((1+'T3 Inputs'!$B$4)^(B29-2016))</f>
        <v>84076.88615909293</v>
      </c>
    </row>
    <row r="30" spans="1:7" x14ac:dyDescent="0.2">
      <c r="A30" s="257">
        <f t="shared" si="1"/>
        <v>27</v>
      </c>
      <c r="B30" s="70">
        <f t="shared" si="2"/>
        <v>2046</v>
      </c>
      <c r="C30" s="8">
        <f>'T4 Globalplex Cargo'!M42</f>
        <v>1869201.8126047803</v>
      </c>
      <c r="D30" s="50">
        <f>C30*'T3 Inputs'!$B$43</f>
        <v>878524.85192424664</v>
      </c>
      <c r="E30" s="44">
        <f>C30*'T3 Inputs'!$B$42</f>
        <v>280380.27189071703</v>
      </c>
      <c r="F30" s="45">
        <f t="shared" si="0"/>
        <v>598144.58003352955</v>
      </c>
      <c r="G30" s="158">
        <f>F30/((1+'T3 Inputs'!$B$4)^(B30-2016))</f>
        <v>78576.529120647596</v>
      </c>
    </row>
    <row r="31" spans="1:7" x14ac:dyDescent="0.2">
      <c r="A31" s="257">
        <f t="shared" si="1"/>
        <v>28</v>
      </c>
      <c r="B31" s="70">
        <f t="shared" si="2"/>
        <v>2047</v>
      </c>
      <c r="C31" s="8">
        <f>'T4 Globalplex Cargo'!M43</f>
        <v>1869201.8126047803</v>
      </c>
      <c r="D31" s="50">
        <f>C31*'T3 Inputs'!$B$43</f>
        <v>878524.85192424664</v>
      </c>
      <c r="E31" s="44">
        <f>C31*'T3 Inputs'!$B$42</f>
        <v>280380.27189071703</v>
      </c>
      <c r="F31" s="45">
        <f t="shared" si="0"/>
        <v>598144.58003352955</v>
      </c>
      <c r="G31" s="158">
        <f>F31/((1+'T3 Inputs'!$B$4)^(B31-2016))</f>
        <v>73436.008523969707</v>
      </c>
    </row>
    <row r="32" spans="1:7" x14ac:dyDescent="0.2">
      <c r="A32" s="257">
        <f t="shared" si="1"/>
        <v>29</v>
      </c>
      <c r="B32" s="70">
        <f t="shared" si="2"/>
        <v>2048</v>
      </c>
      <c r="C32" s="8">
        <f>'T4 Globalplex Cargo'!M44</f>
        <v>1869201.8126047803</v>
      </c>
      <c r="D32" s="50">
        <f>C32*'T3 Inputs'!$B$43</f>
        <v>878524.85192424664</v>
      </c>
      <c r="E32" s="44">
        <f>C32*'T3 Inputs'!$B$42</f>
        <v>280380.27189071703</v>
      </c>
      <c r="F32" s="45">
        <f t="shared" si="0"/>
        <v>598144.58003352955</v>
      </c>
      <c r="G32" s="158">
        <f>F32/((1+'T3 Inputs'!$B$4)^(B32-2016))</f>
        <v>68631.783667261407</v>
      </c>
    </row>
    <row r="33" spans="1:7" x14ac:dyDescent="0.2">
      <c r="A33" s="257">
        <f t="shared" si="1"/>
        <v>30</v>
      </c>
      <c r="B33" s="70">
        <f t="shared" si="2"/>
        <v>2049</v>
      </c>
      <c r="C33" s="8">
        <f>'T4 Globalplex Cargo'!M45</f>
        <v>1869201.8126047803</v>
      </c>
      <c r="D33" s="50">
        <f>C33*'T3 Inputs'!$B$43</f>
        <v>878524.85192424664</v>
      </c>
      <c r="E33" s="44">
        <f>C33*'T3 Inputs'!$B$42</f>
        <v>280380.27189071703</v>
      </c>
      <c r="F33" s="45">
        <f t="shared" si="0"/>
        <v>598144.58003352955</v>
      </c>
      <c r="G33" s="158">
        <f>F33/((1+'T3 Inputs'!$B$4)^(B33-2016))</f>
        <v>64141.853894636828</v>
      </c>
    </row>
    <row r="34" spans="1:7" s="253" customFormat="1" ht="13.5" customHeight="1" thickBot="1" x14ac:dyDescent="0.25">
      <c r="A34" s="598" t="s">
        <v>0</v>
      </c>
      <c r="B34" s="599"/>
      <c r="C34" s="102">
        <f>SUM(C2:C33)</f>
        <v>58961025.098289311</v>
      </c>
      <c r="D34" s="103">
        <f>SUM(D2:D33)</f>
        <v>27711681.796195995</v>
      </c>
      <c r="E34" s="104">
        <f>SUM(E2:E33)</f>
        <v>9815381.0444573555</v>
      </c>
      <c r="F34" s="104">
        <f>SUM(F2:F33)</f>
        <v>17896300.751738619</v>
      </c>
      <c r="G34" s="161">
        <f>SUM(G2:G33)</f>
        <v>6022243.0254212478</v>
      </c>
    </row>
    <row r="35" spans="1:7" x14ac:dyDescent="0.2">
      <c r="G35" s="236"/>
    </row>
    <row r="36" spans="1:7" ht="12.75" thickBot="1" x14ac:dyDescent="0.25">
      <c r="C36" s="259"/>
      <c r="D36" s="175"/>
      <c r="G36" s="236"/>
    </row>
    <row r="37" spans="1:7" ht="48" x14ac:dyDescent="0.2">
      <c r="A37" s="303" t="s">
        <v>130</v>
      </c>
      <c r="B37" s="101" t="s">
        <v>2</v>
      </c>
      <c r="C37" s="101" t="s">
        <v>174</v>
      </c>
      <c r="D37" s="101" t="s">
        <v>283</v>
      </c>
      <c r="E37" s="101" t="s">
        <v>175</v>
      </c>
      <c r="F37" s="101" t="s">
        <v>176</v>
      </c>
      <c r="G37" s="304" t="s">
        <v>177</v>
      </c>
    </row>
    <row r="38" spans="1:7" x14ac:dyDescent="0.2">
      <c r="A38" s="257">
        <f t="shared" ref="A38:A69" si="3">A2</f>
        <v>-1</v>
      </c>
      <c r="B38" s="71">
        <f t="shared" ref="B38:B69" si="4">B2</f>
        <v>2018</v>
      </c>
      <c r="C38" s="517">
        <f t="shared" ref="C38:G47" si="5">ROUND(C2,-3)</f>
        <v>1454000</v>
      </c>
      <c r="D38" s="520">
        <f t="shared" si="5"/>
        <v>683000</v>
      </c>
      <c r="E38" s="316">
        <f t="shared" si="5"/>
        <v>683000</v>
      </c>
      <c r="F38" s="316">
        <f t="shared" si="5"/>
        <v>0</v>
      </c>
      <c r="G38" s="521">
        <f t="shared" si="5"/>
        <v>0</v>
      </c>
    </row>
    <row r="39" spans="1:7" x14ac:dyDescent="0.2">
      <c r="A39" s="257">
        <f t="shared" si="3"/>
        <v>0</v>
      </c>
      <c r="B39" s="70">
        <f t="shared" si="4"/>
        <v>2019</v>
      </c>
      <c r="C39" s="517">
        <f t="shared" si="5"/>
        <v>1581000</v>
      </c>
      <c r="D39" s="520">
        <f t="shared" si="5"/>
        <v>743000</v>
      </c>
      <c r="E39" s="316">
        <f t="shared" si="5"/>
        <v>743000</v>
      </c>
      <c r="F39" s="316">
        <f t="shared" si="5"/>
        <v>0</v>
      </c>
      <c r="G39" s="521">
        <f t="shared" si="5"/>
        <v>0</v>
      </c>
    </row>
    <row r="40" spans="1:7" x14ac:dyDescent="0.2">
      <c r="A40" s="257">
        <f t="shared" si="3"/>
        <v>1</v>
      </c>
      <c r="B40" s="70">
        <f t="shared" si="4"/>
        <v>2020</v>
      </c>
      <c r="C40" s="517">
        <f t="shared" si="5"/>
        <v>1719000</v>
      </c>
      <c r="D40" s="520">
        <f t="shared" si="5"/>
        <v>808000</v>
      </c>
      <c r="E40" s="316">
        <f t="shared" si="5"/>
        <v>258000</v>
      </c>
      <c r="F40" s="316">
        <f t="shared" si="5"/>
        <v>550000</v>
      </c>
      <c r="G40" s="521">
        <f t="shared" si="5"/>
        <v>420000</v>
      </c>
    </row>
    <row r="41" spans="1:7" x14ac:dyDescent="0.2">
      <c r="A41" s="257">
        <f t="shared" si="3"/>
        <v>2</v>
      </c>
      <c r="B41" s="70">
        <f t="shared" si="4"/>
        <v>2021</v>
      </c>
      <c r="C41" s="517">
        <f t="shared" si="5"/>
        <v>1869000</v>
      </c>
      <c r="D41" s="520">
        <f t="shared" si="5"/>
        <v>879000</v>
      </c>
      <c r="E41" s="316">
        <f t="shared" si="5"/>
        <v>280000</v>
      </c>
      <c r="F41" s="522">
        <f t="shared" si="5"/>
        <v>598000</v>
      </c>
      <c r="G41" s="521">
        <f t="shared" si="5"/>
        <v>426000</v>
      </c>
    </row>
    <row r="42" spans="1:7" x14ac:dyDescent="0.2">
      <c r="A42" s="257">
        <f t="shared" si="3"/>
        <v>3</v>
      </c>
      <c r="B42" s="70">
        <f t="shared" si="4"/>
        <v>2022</v>
      </c>
      <c r="C42" s="517">
        <f t="shared" si="5"/>
        <v>1869000</v>
      </c>
      <c r="D42" s="520">
        <f t="shared" si="5"/>
        <v>879000</v>
      </c>
      <c r="E42" s="316">
        <f t="shared" si="5"/>
        <v>280000</v>
      </c>
      <c r="F42" s="522">
        <f t="shared" si="5"/>
        <v>598000</v>
      </c>
      <c r="G42" s="521">
        <f t="shared" si="5"/>
        <v>399000</v>
      </c>
    </row>
    <row r="43" spans="1:7" x14ac:dyDescent="0.2">
      <c r="A43" s="257">
        <f t="shared" si="3"/>
        <v>4</v>
      </c>
      <c r="B43" s="70">
        <f t="shared" si="4"/>
        <v>2023</v>
      </c>
      <c r="C43" s="517">
        <f t="shared" si="5"/>
        <v>1869000</v>
      </c>
      <c r="D43" s="520">
        <f t="shared" si="5"/>
        <v>879000</v>
      </c>
      <c r="E43" s="316">
        <f t="shared" si="5"/>
        <v>280000</v>
      </c>
      <c r="F43" s="522">
        <f t="shared" si="5"/>
        <v>598000</v>
      </c>
      <c r="G43" s="521">
        <f t="shared" si="5"/>
        <v>372000</v>
      </c>
    </row>
    <row r="44" spans="1:7" x14ac:dyDescent="0.2">
      <c r="A44" s="257">
        <f t="shared" si="3"/>
        <v>5</v>
      </c>
      <c r="B44" s="70">
        <f t="shared" si="4"/>
        <v>2024</v>
      </c>
      <c r="C44" s="517">
        <f t="shared" si="5"/>
        <v>1869000</v>
      </c>
      <c r="D44" s="520">
        <f t="shared" si="5"/>
        <v>879000</v>
      </c>
      <c r="E44" s="316">
        <f t="shared" si="5"/>
        <v>280000</v>
      </c>
      <c r="F44" s="522">
        <f t="shared" si="5"/>
        <v>598000</v>
      </c>
      <c r="G44" s="521">
        <f t="shared" si="5"/>
        <v>348000</v>
      </c>
    </row>
    <row r="45" spans="1:7" x14ac:dyDescent="0.2">
      <c r="A45" s="257">
        <f t="shared" si="3"/>
        <v>6</v>
      </c>
      <c r="B45" s="70">
        <f t="shared" si="4"/>
        <v>2025</v>
      </c>
      <c r="C45" s="517">
        <f t="shared" si="5"/>
        <v>1869000</v>
      </c>
      <c r="D45" s="520">
        <f t="shared" si="5"/>
        <v>879000</v>
      </c>
      <c r="E45" s="316">
        <f t="shared" si="5"/>
        <v>280000</v>
      </c>
      <c r="F45" s="522">
        <f t="shared" si="5"/>
        <v>598000</v>
      </c>
      <c r="G45" s="521">
        <f t="shared" si="5"/>
        <v>325000</v>
      </c>
    </row>
    <row r="46" spans="1:7" x14ac:dyDescent="0.2">
      <c r="A46" s="257">
        <f t="shared" si="3"/>
        <v>7</v>
      </c>
      <c r="B46" s="70">
        <f t="shared" si="4"/>
        <v>2026</v>
      </c>
      <c r="C46" s="517">
        <f t="shared" si="5"/>
        <v>1869000</v>
      </c>
      <c r="D46" s="520">
        <f t="shared" si="5"/>
        <v>879000</v>
      </c>
      <c r="E46" s="316">
        <f t="shared" si="5"/>
        <v>280000</v>
      </c>
      <c r="F46" s="522">
        <f t="shared" si="5"/>
        <v>598000</v>
      </c>
      <c r="G46" s="521">
        <f t="shared" si="5"/>
        <v>304000</v>
      </c>
    </row>
    <row r="47" spans="1:7" x14ac:dyDescent="0.2">
      <c r="A47" s="257">
        <f t="shared" si="3"/>
        <v>8</v>
      </c>
      <c r="B47" s="70">
        <f t="shared" si="4"/>
        <v>2027</v>
      </c>
      <c r="C47" s="517">
        <f t="shared" si="5"/>
        <v>1869000</v>
      </c>
      <c r="D47" s="520">
        <f t="shared" si="5"/>
        <v>879000</v>
      </c>
      <c r="E47" s="316">
        <f t="shared" si="5"/>
        <v>280000</v>
      </c>
      <c r="F47" s="522">
        <f t="shared" si="5"/>
        <v>598000</v>
      </c>
      <c r="G47" s="521">
        <f t="shared" si="5"/>
        <v>284000</v>
      </c>
    </row>
    <row r="48" spans="1:7" x14ac:dyDescent="0.2">
      <c r="A48" s="257">
        <f t="shared" si="3"/>
        <v>9</v>
      </c>
      <c r="B48" s="70">
        <f t="shared" si="4"/>
        <v>2028</v>
      </c>
      <c r="C48" s="517">
        <f t="shared" ref="C48:G57" si="6">ROUND(C12,-3)</f>
        <v>1869000</v>
      </c>
      <c r="D48" s="520">
        <f t="shared" si="6"/>
        <v>879000</v>
      </c>
      <c r="E48" s="316">
        <f t="shared" si="6"/>
        <v>280000</v>
      </c>
      <c r="F48" s="522">
        <f t="shared" si="6"/>
        <v>598000</v>
      </c>
      <c r="G48" s="521">
        <f t="shared" si="6"/>
        <v>266000</v>
      </c>
    </row>
    <row r="49" spans="1:7" x14ac:dyDescent="0.2">
      <c r="A49" s="257">
        <f t="shared" si="3"/>
        <v>10</v>
      </c>
      <c r="B49" s="70">
        <f t="shared" si="4"/>
        <v>2029</v>
      </c>
      <c r="C49" s="517">
        <f t="shared" si="6"/>
        <v>1869000</v>
      </c>
      <c r="D49" s="520">
        <f t="shared" si="6"/>
        <v>879000</v>
      </c>
      <c r="E49" s="316">
        <f t="shared" si="6"/>
        <v>280000</v>
      </c>
      <c r="F49" s="522">
        <f t="shared" si="6"/>
        <v>598000</v>
      </c>
      <c r="G49" s="521">
        <f t="shared" si="6"/>
        <v>248000</v>
      </c>
    </row>
    <row r="50" spans="1:7" x14ac:dyDescent="0.2">
      <c r="A50" s="257">
        <f t="shared" si="3"/>
        <v>11</v>
      </c>
      <c r="B50" s="70">
        <f t="shared" si="4"/>
        <v>2030</v>
      </c>
      <c r="C50" s="517">
        <f t="shared" si="6"/>
        <v>1869000</v>
      </c>
      <c r="D50" s="520">
        <f t="shared" si="6"/>
        <v>879000</v>
      </c>
      <c r="E50" s="316">
        <f t="shared" si="6"/>
        <v>280000</v>
      </c>
      <c r="F50" s="522">
        <f t="shared" si="6"/>
        <v>598000</v>
      </c>
      <c r="G50" s="521">
        <f t="shared" si="6"/>
        <v>232000</v>
      </c>
    </row>
    <row r="51" spans="1:7" x14ac:dyDescent="0.2">
      <c r="A51" s="257">
        <f t="shared" si="3"/>
        <v>12</v>
      </c>
      <c r="B51" s="70">
        <f t="shared" si="4"/>
        <v>2031</v>
      </c>
      <c r="C51" s="517">
        <f t="shared" si="6"/>
        <v>1869000</v>
      </c>
      <c r="D51" s="520">
        <f t="shared" si="6"/>
        <v>879000</v>
      </c>
      <c r="E51" s="316">
        <f t="shared" si="6"/>
        <v>280000</v>
      </c>
      <c r="F51" s="522">
        <f t="shared" si="6"/>
        <v>598000</v>
      </c>
      <c r="G51" s="521">
        <f t="shared" si="6"/>
        <v>217000</v>
      </c>
    </row>
    <row r="52" spans="1:7" x14ac:dyDescent="0.2">
      <c r="A52" s="257">
        <f t="shared" si="3"/>
        <v>13</v>
      </c>
      <c r="B52" s="70">
        <f t="shared" si="4"/>
        <v>2032</v>
      </c>
      <c r="C52" s="517">
        <f t="shared" si="6"/>
        <v>1869000</v>
      </c>
      <c r="D52" s="520">
        <f t="shared" si="6"/>
        <v>879000</v>
      </c>
      <c r="E52" s="316">
        <f t="shared" si="6"/>
        <v>280000</v>
      </c>
      <c r="F52" s="522">
        <f t="shared" si="6"/>
        <v>598000</v>
      </c>
      <c r="G52" s="521">
        <f t="shared" si="6"/>
        <v>203000</v>
      </c>
    </row>
    <row r="53" spans="1:7" x14ac:dyDescent="0.2">
      <c r="A53" s="257">
        <f t="shared" si="3"/>
        <v>14</v>
      </c>
      <c r="B53" s="70">
        <f t="shared" si="4"/>
        <v>2033</v>
      </c>
      <c r="C53" s="517">
        <f t="shared" si="6"/>
        <v>1869000</v>
      </c>
      <c r="D53" s="520">
        <f t="shared" si="6"/>
        <v>879000</v>
      </c>
      <c r="E53" s="316">
        <f t="shared" si="6"/>
        <v>280000</v>
      </c>
      <c r="F53" s="522">
        <f t="shared" si="6"/>
        <v>598000</v>
      </c>
      <c r="G53" s="521">
        <f t="shared" si="6"/>
        <v>189000</v>
      </c>
    </row>
    <row r="54" spans="1:7" x14ac:dyDescent="0.2">
      <c r="A54" s="257">
        <f t="shared" si="3"/>
        <v>15</v>
      </c>
      <c r="B54" s="70">
        <f t="shared" si="4"/>
        <v>2034</v>
      </c>
      <c r="C54" s="517">
        <f t="shared" si="6"/>
        <v>1869000</v>
      </c>
      <c r="D54" s="520">
        <f t="shared" si="6"/>
        <v>879000</v>
      </c>
      <c r="E54" s="316">
        <f t="shared" si="6"/>
        <v>280000</v>
      </c>
      <c r="F54" s="522">
        <f t="shared" si="6"/>
        <v>598000</v>
      </c>
      <c r="G54" s="521">
        <f t="shared" si="6"/>
        <v>177000</v>
      </c>
    </row>
    <row r="55" spans="1:7" x14ac:dyDescent="0.2">
      <c r="A55" s="257">
        <f t="shared" si="3"/>
        <v>16</v>
      </c>
      <c r="B55" s="70">
        <f t="shared" si="4"/>
        <v>2035</v>
      </c>
      <c r="C55" s="517">
        <f t="shared" si="6"/>
        <v>1869000</v>
      </c>
      <c r="D55" s="520">
        <f t="shared" si="6"/>
        <v>879000</v>
      </c>
      <c r="E55" s="316">
        <f t="shared" si="6"/>
        <v>280000</v>
      </c>
      <c r="F55" s="522">
        <f t="shared" si="6"/>
        <v>598000</v>
      </c>
      <c r="G55" s="521">
        <f t="shared" si="6"/>
        <v>165000</v>
      </c>
    </row>
    <row r="56" spans="1:7" x14ac:dyDescent="0.2">
      <c r="A56" s="257">
        <f t="shared" si="3"/>
        <v>17</v>
      </c>
      <c r="B56" s="70">
        <f t="shared" si="4"/>
        <v>2036</v>
      </c>
      <c r="C56" s="517">
        <f t="shared" si="6"/>
        <v>1869000</v>
      </c>
      <c r="D56" s="520">
        <f t="shared" si="6"/>
        <v>879000</v>
      </c>
      <c r="E56" s="316">
        <f t="shared" si="6"/>
        <v>280000</v>
      </c>
      <c r="F56" s="522">
        <f t="shared" si="6"/>
        <v>598000</v>
      </c>
      <c r="G56" s="521">
        <f t="shared" si="6"/>
        <v>155000</v>
      </c>
    </row>
    <row r="57" spans="1:7" x14ac:dyDescent="0.2">
      <c r="A57" s="257">
        <f t="shared" si="3"/>
        <v>18</v>
      </c>
      <c r="B57" s="70">
        <f t="shared" si="4"/>
        <v>2037</v>
      </c>
      <c r="C57" s="517">
        <f t="shared" si="6"/>
        <v>1869000</v>
      </c>
      <c r="D57" s="520">
        <f t="shared" si="6"/>
        <v>879000</v>
      </c>
      <c r="E57" s="316">
        <f t="shared" si="6"/>
        <v>280000</v>
      </c>
      <c r="F57" s="522">
        <f t="shared" si="6"/>
        <v>598000</v>
      </c>
      <c r="G57" s="521">
        <f t="shared" si="6"/>
        <v>144000</v>
      </c>
    </row>
    <row r="58" spans="1:7" x14ac:dyDescent="0.2">
      <c r="A58" s="257">
        <f t="shared" si="3"/>
        <v>19</v>
      </c>
      <c r="B58" s="70">
        <f t="shared" si="4"/>
        <v>2038</v>
      </c>
      <c r="C58" s="517">
        <f t="shared" ref="C58:G67" si="7">ROUND(C22,-3)</f>
        <v>1869000</v>
      </c>
      <c r="D58" s="520">
        <f t="shared" si="7"/>
        <v>879000</v>
      </c>
      <c r="E58" s="316">
        <f t="shared" si="7"/>
        <v>280000</v>
      </c>
      <c r="F58" s="522">
        <f t="shared" si="7"/>
        <v>598000</v>
      </c>
      <c r="G58" s="521">
        <f t="shared" si="7"/>
        <v>135000</v>
      </c>
    </row>
    <row r="59" spans="1:7" x14ac:dyDescent="0.2">
      <c r="A59" s="257">
        <f t="shared" si="3"/>
        <v>20</v>
      </c>
      <c r="B59" s="70">
        <f t="shared" si="4"/>
        <v>2039</v>
      </c>
      <c r="C59" s="517">
        <f t="shared" si="7"/>
        <v>1869000</v>
      </c>
      <c r="D59" s="520">
        <f t="shared" si="7"/>
        <v>879000</v>
      </c>
      <c r="E59" s="316">
        <f t="shared" si="7"/>
        <v>280000</v>
      </c>
      <c r="F59" s="522">
        <f t="shared" si="7"/>
        <v>598000</v>
      </c>
      <c r="G59" s="171">
        <f t="shared" si="7"/>
        <v>126000</v>
      </c>
    </row>
    <row r="60" spans="1:7" x14ac:dyDescent="0.2">
      <c r="A60" s="257">
        <f t="shared" si="3"/>
        <v>21</v>
      </c>
      <c r="B60" s="70">
        <f t="shared" si="4"/>
        <v>2040</v>
      </c>
      <c r="C60" s="517">
        <f t="shared" si="7"/>
        <v>1869000</v>
      </c>
      <c r="D60" s="520">
        <f t="shared" si="7"/>
        <v>879000</v>
      </c>
      <c r="E60" s="316">
        <f t="shared" si="7"/>
        <v>280000</v>
      </c>
      <c r="F60" s="522">
        <f t="shared" si="7"/>
        <v>598000</v>
      </c>
      <c r="G60" s="171">
        <f t="shared" si="7"/>
        <v>118000</v>
      </c>
    </row>
    <row r="61" spans="1:7" x14ac:dyDescent="0.2">
      <c r="A61" s="257">
        <f t="shared" si="3"/>
        <v>22</v>
      </c>
      <c r="B61" s="70">
        <f t="shared" si="4"/>
        <v>2041</v>
      </c>
      <c r="C61" s="517">
        <f t="shared" si="7"/>
        <v>1869000</v>
      </c>
      <c r="D61" s="520">
        <f t="shared" si="7"/>
        <v>879000</v>
      </c>
      <c r="E61" s="316">
        <f t="shared" si="7"/>
        <v>280000</v>
      </c>
      <c r="F61" s="522">
        <f t="shared" si="7"/>
        <v>598000</v>
      </c>
      <c r="G61" s="171">
        <f t="shared" si="7"/>
        <v>110000</v>
      </c>
    </row>
    <row r="62" spans="1:7" x14ac:dyDescent="0.2">
      <c r="A62" s="257">
        <f t="shared" si="3"/>
        <v>23</v>
      </c>
      <c r="B62" s="70">
        <f t="shared" si="4"/>
        <v>2042</v>
      </c>
      <c r="C62" s="517">
        <f t="shared" si="7"/>
        <v>1869000</v>
      </c>
      <c r="D62" s="520">
        <f t="shared" si="7"/>
        <v>879000</v>
      </c>
      <c r="E62" s="316">
        <f t="shared" si="7"/>
        <v>280000</v>
      </c>
      <c r="F62" s="522">
        <f t="shared" si="7"/>
        <v>598000</v>
      </c>
      <c r="G62" s="171">
        <f t="shared" si="7"/>
        <v>103000</v>
      </c>
    </row>
    <row r="63" spans="1:7" x14ac:dyDescent="0.2">
      <c r="A63" s="257">
        <f t="shared" si="3"/>
        <v>24</v>
      </c>
      <c r="B63" s="70">
        <f t="shared" si="4"/>
        <v>2043</v>
      </c>
      <c r="C63" s="517">
        <f t="shared" si="7"/>
        <v>1869000</v>
      </c>
      <c r="D63" s="520">
        <f t="shared" si="7"/>
        <v>879000</v>
      </c>
      <c r="E63" s="316">
        <f t="shared" si="7"/>
        <v>280000</v>
      </c>
      <c r="F63" s="522">
        <f t="shared" si="7"/>
        <v>598000</v>
      </c>
      <c r="G63" s="171">
        <f t="shared" si="7"/>
        <v>96000</v>
      </c>
    </row>
    <row r="64" spans="1:7" x14ac:dyDescent="0.2">
      <c r="A64" s="257">
        <f t="shared" si="3"/>
        <v>25</v>
      </c>
      <c r="B64" s="70">
        <f t="shared" si="4"/>
        <v>2044</v>
      </c>
      <c r="C64" s="517">
        <f t="shared" si="7"/>
        <v>1869000</v>
      </c>
      <c r="D64" s="520">
        <f t="shared" si="7"/>
        <v>879000</v>
      </c>
      <c r="E64" s="316">
        <f t="shared" si="7"/>
        <v>280000</v>
      </c>
      <c r="F64" s="522">
        <f t="shared" si="7"/>
        <v>598000</v>
      </c>
      <c r="G64" s="171">
        <f t="shared" si="7"/>
        <v>90000</v>
      </c>
    </row>
    <row r="65" spans="1:7" x14ac:dyDescent="0.2">
      <c r="A65" s="257">
        <f t="shared" si="3"/>
        <v>26</v>
      </c>
      <c r="B65" s="70">
        <f t="shared" si="4"/>
        <v>2045</v>
      </c>
      <c r="C65" s="517">
        <f t="shared" si="7"/>
        <v>1869000</v>
      </c>
      <c r="D65" s="520">
        <f t="shared" si="7"/>
        <v>879000</v>
      </c>
      <c r="E65" s="316">
        <f t="shared" si="7"/>
        <v>280000</v>
      </c>
      <c r="F65" s="522">
        <f t="shared" si="7"/>
        <v>598000</v>
      </c>
      <c r="G65" s="171">
        <f t="shared" si="7"/>
        <v>84000</v>
      </c>
    </row>
    <row r="66" spans="1:7" x14ac:dyDescent="0.2">
      <c r="A66" s="257">
        <f t="shared" si="3"/>
        <v>27</v>
      </c>
      <c r="B66" s="70">
        <f t="shared" si="4"/>
        <v>2046</v>
      </c>
      <c r="C66" s="517">
        <f t="shared" si="7"/>
        <v>1869000</v>
      </c>
      <c r="D66" s="520">
        <f t="shared" si="7"/>
        <v>879000</v>
      </c>
      <c r="E66" s="316">
        <f t="shared" si="7"/>
        <v>280000</v>
      </c>
      <c r="F66" s="522">
        <f t="shared" si="7"/>
        <v>598000</v>
      </c>
      <c r="G66" s="171">
        <f t="shared" si="7"/>
        <v>79000</v>
      </c>
    </row>
    <row r="67" spans="1:7" x14ac:dyDescent="0.2">
      <c r="A67" s="257">
        <f t="shared" si="3"/>
        <v>28</v>
      </c>
      <c r="B67" s="70">
        <f t="shared" si="4"/>
        <v>2047</v>
      </c>
      <c r="C67" s="517">
        <f t="shared" si="7"/>
        <v>1869000</v>
      </c>
      <c r="D67" s="520">
        <f t="shared" si="7"/>
        <v>879000</v>
      </c>
      <c r="E67" s="316">
        <f t="shared" si="7"/>
        <v>280000</v>
      </c>
      <c r="F67" s="522">
        <f t="shared" si="7"/>
        <v>598000</v>
      </c>
      <c r="G67" s="171">
        <f t="shared" si="7"/>
        <v>73000</v>
      </c>
    </row>
    <row r="68" spans="1:7" x14ac:dyDescent="0.2">
      <c r="A68" s="257">
        <f t="shared" si="3"/>
        <v>29</v>
      </c>
      <c r="B68" s="70">
        <f t="shared" si="4"/>
        <v>2048</v>
      </c>
      <c r="C68" s="517">
        <f t="shared" ref="C68:G70" si="8">ROUND(C32,-3)</f>
        <v>1869000</v>
      </c>
      <c r="D68" s="520">
        <f t="shared" si="8"/>
        <v>879000</v>
      </c>
      <c r="E68" s="316">
        <f t="shared" si="8"/>
        <v>280000</v>
      </c>
      <c r="F68" s="522">
        <f t="shared" si="8"/>
        <v>598000</v>
      </c>
      <c r="G68" s="171">
        <f t="shared" si="8"/>
        <v>69000</v>
      </c>
    </row>
    <row r="69" spans="1:7" x14ac:dyDescent="0.2">
      <c r="A69" s="257">
        <f t="shared" si="3"/>
        <v>30</v>
      </c>
      <c r="B69" s="70">
        <f t="shared" si="4"/>
        <v>2049</v>
      </c>
      <c r="C69" s="517">
        <f t="shared" si="8"/>
        <v>1869000</v>
      </c>
      <c r="D69" s="520">
        <f t="shared" si="8"/>
        <v>879000</v>
      </c>
      <c r="E69" s="316">
        <f t="shared" si="8"/>
        <v>280000</v>
      </c>
      <c r="F69" s="522">
        <f t="shared" si="8"/>
        <v>598000</v>
      </c>
      <c r="G69" s="171">
        <f t="shared" si="8"/>
        <v>64000</v>
      </c>
    </row>
    <row r="70" spans="1:7" ht="12.75" thickBot="1" x14ac:dyDescent="0.25">
      <c r="A70" s="598" t="s">
        <v>0</v>
      </c>
      <c r="B70" s="599"/>
      <c r="C70" s="518">
        <f t="shared" si="8"/>
        <v>58961000</v>
      </c>
      <c r="D70" s="310">
        <f t="shared" si="8"/>
        <v>27712000</v>
      </c>
      <c r="E70" s="318">
        <f t="shared" si="8"/>
        <v>9815000</v>
      </c>
      <c r="F70" s="318">
        <f t="shared" si="8"/>
        <v>17896000</v>
      </c>
      <c r="G70" s="174">
        <f t="shared" si="8"/>
        <v>6022000</v>
      </c>
    </row>
  </sheetData>
  <mergeCells count="2">
    <mergeCell ref="A34:B34"/>
    <mergeCell ref="A70:B70"/>
  </mergeCells>
  <pageMargins left="0.75" right="0.75" top="1" bottom="1" header="0.5" footer="0.5"/>
  <pageSetup orientation="portrait" horizontalDpi="90" verticalDpi="90" r:id="rId1"/>
  <headerFooter alignWithMargins="0"/>
  <rowBreaks count="1" manualBreakCount="1">
    <brk id="3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pane xSplit="2" topLeftCell="C1" activePane="topRight" state="frozen"/>
      <selection pane="topRight"/>
    </sheetView>
  </sheetViews>
  <sheetFormatPr defaultRowHeight="12" x14ac:dyDescent="0.2"/>
  <cols>
    <col min="1" max="2" width="8.7109375" style="236" customWidth="1"/>
    <col min="3" max="5" width="13.7109375" style="236" customWidth="1"/>
    <col min="6" max="6" width="14.28515625" style="236" customWidth="1"/>
    <col min="7" max="7" width="14.28515625" style="239" customWidth="1"/>
    <col min="8" max="10" width="14.28515625" style="236" customWidth="1"/>
    <col min="11" max="16384" width="9.140625" style="236"/>
  </cols>
  <sheetData>
    <row r="1" spans="1:10" s="244" customFormat="1" ht="60" x14ac:dyDescent="0.2">
      <c r="A1" s="303" t="s">
        <v>130</v>
      </c>
      <c r="B1" s="101" t="s">
        <v>2</v>
      </c>
      <c r="C1" s="101" t="s">
        <v>174</v>
      </c>
      <c r="D1" s="101" t="s">
        <v>178</v>
      </c>
      <c r="E1" s="101" t="s">
        <v>179</v>
      </c>
      <c r="F1" s="101" t="s">
        <v>180</v>
      </c>
      <c r="G1" s="306" t="s">
        <v>181</v>
      </c>
      <c r="H1" s="101" t="s">
        <v>182</v>
      </c>
      <c r="I1" s="101" t="s">
        <v>183</v>
      </c>
      <c r="J1" s="156" t="s">
        <v>184</v>
      </c>
    </row>
    <row r="2" spans="1:10" x14ac:dyDescent="0.2">
      <c r="A2" s="257">
        <v>-1</v>
      </c>
      <c r="B2" s="71">
        <v>2018</v>
      </c>
      <c r="C2" s="7">
        <f>'T4 Globalplex Cargo'!M14</f>
        <v>1454056.8824204358</v>
      </c>
      <c r="D2" s="105">
        <f>C2/'T3 Inputs'!$B$45</f>
        <v>7456.7019611304395</v>
      </c>
      <c r="E2" s="52">
        <f>D2</f>
        <v>7456.7019611304395</v>
      </c>
      <c r="F2" s="52">
        <f>D2-E2</f>
        <v>0</v>
      </c>
      <c r="G2" s="307">
        <f>F2*'T3 Inputs'!$B$46</f>
        <v>0</v>
      </c>
      <c r="H2" s="45">
        <f>F2*'T3 Inputs'!$B$39*'T3 Inputs'!$B$35</f>
        <v>0</v>
      </c>
      <c r="I2" s="45">
        <f>SUM(G2:H2)</f>
        <v>0</v>
      </c>
      <c r="J2" s="158">
        <f>I2/((1+'T3 Inputs'!$B$4)^(B2-2016))</f>
        <v>0</v>
      </c>
    </row>
    <row r="3" spans="1:10" x14ac:dyDescent="0.2">
      <c r="A3" s="257">
        <f>A2+1</f>
        <v>0</v>
      </c>
      <c r="B3" s="70">
        <f>B2+1</f>
        <v>2019</v>
      </c>
      <c r="C3" s="7">
        <f>'T4 Globalplex Cargo'!M15</f>
        <v>1581028.3666856978</v>
      </c>
      <c r="D3" s="105">
        <f>C3/'T3 Inputs'!$B$45</f>
        <v>8107.8377778753738</v>
      </c>
      <c r="E3" s="52">
        <f>D3</f>
        <v>8107.8377778753738</v>
      </c>
      <c r="F3" s="52">
        <f t="shared" ref="F3:F33" si="0">D3-E3</f>
        <v>0</v>
      </c>
      <c r="G3" s="307">
        <f>F3*'T3 Inputs'!$B$46</f>
        <v>0</v>
      </c>
      <c r="H3" s="45">
        <f>F3*'T3 Inputs'!$B$39*'T3 Inputs'!$B$35</f>
        <v>0</v>
      </c>
      <c r="I3" s="45">
        <f t="shared" ref="I3:I33" si="1">SUM(G3:H3)</f>
        <v>0</v>
      </c>
      <c r="J3" s="158">
        <f>I3/((1+'T3 Inputs'!$B$4)^(B3-2016))</f>
        <v>0</v>
      </c>
    </row>
    <row r="4" spans="1:10" x14ac:dyDescent="0.2">
      <c r="A4" s="257">
        <f t="shared" ref="A4:A33" si="2">A3+1</f>
        <v>1</v>
      </c>
      <c r="B4" s="70">
        <f t="shared" ref="B4:B33" si="3">B3+1</f>
        <v>2020</v>
      </c>
      <c r="C4" s="7">
        <f>'T4 Globalplex Cargo'!M16</f>
        <v>1719087.2836445745</v>
      </c>
      <c r="D4" s="105">
        <f>C4/'T3 Inputs'!$B$45</f>
        <v>8815.83222381833</v>
      </c>
      <c r="E4" s="52">
        <f>C4/'T3 Inputs'!$B$44</f>
        <v>3786.5358670585342</v>
      </c>
      <c r="F4" s="52">
        <f t="shared" si="0"/>
        <v>5029.2963567597963</v>
      </c>
      <c r="G4" s="307">
        <f>F4*'T3 Inputs'!$B$46</f>
        <v>133678.69716267538</v>
      </c>
      <c r="H4" s="45">
        <f>F4*'T3 Inputs'!$B$39*'T3 Inputs'!$B$35</f>
        <v>4548093.2813450191</v>
      </c>
      <c r="I4" s="45">
        <f t="shared" si="1"/>
        <v>4681771.9785076948</v>
      </c>
      <c r="J4" s="158">
        <f>I4/((1+'T3 Inputs'!$B$4)^(B4-2016))</f>
        <v>3571701.4263017895</v>
      </c>
    </row>
    <row r="5" spans="1:10" x14ac:dyDescent="0.2">
      <c r="A5" s="257">
        <f t="shared" si="2"/>
        <v>2</v>
      </c>
      <c r="B5" s="70">
        <f t="shared" si="3"/>
        <v>2021</v>
      </c>
      <c r="C5" s="8">
        <f>'T4 Globalplex Cargo'!M17</f>
        <v>1869201.8126047803</v>
      </c>
      <c r="D5" s="105">
        <f>C5/'T3 Inputs'!$B$45</f>
        <v>9585.650321050156</v>
      </c>
      <c r="E5" s="52">
        <f>C5/'T3 Inputs'!$B$44</f>
        <v>4117.1846092616306</v>
      </c>
      <c r="F5" s="9">
        <f t="shared" si="0"/>
        <v>5468.4657117885254</v>
      </c>
      <c r="G5" s="307">
        <f>F5*'T3 Inputs'!$B$46</f>
        <v>145351.818619339</v>
      </c>
      <c r="H5" s="45">
        <f>F5*'T3 Inputs'!$B$39*'T3 Inputs'!$B$35</f>
        <v>4945242.9124845993</v>
      </c>
      <c r="I5" s="45">
        <f t="shared" si="1"/>
        <v>5090594.7311039381</v>
      </c>
      <c r="J5" s="158">
        <f>I5/((1+'T3 Inputs'!$B$4)^(B5-2016))</f>
        <v>3629523.6886294889</v>
      </c>
    </row>
    <row r="6" spans="1:10" x14ac:dyDescent="0.2">
      <c r="A6" s="257">
        <f t="shared" si="2"/>
        <v>3</v>
      </c>
      <c r="B6" s="70">
        <f t="shared" si="3"/>
        <v>2022</v>
      </c>
      <c r="C6" s="8">
        <f>'T4 Globalplex Cargo'!M18</f>
        <v>1869201.8126047803</v>
      </c>
      <c r="D6" s="105">
        <f>C6/'T3 Inputs'!$B$45</f>
        <v>9585.650321050156</v>
      </c>
      <c r="E6" s="52">
        <f>C6/'T3 Inputs'!$B$44</f>
        <v>4117.1846092616306</v>
      </c>
      <c r="F6" s="9">
        <f t="shared" si="0"/>
        <v>5468.4657117885254</v>
      </c>
      <c r="G6" s="307">
        <f>F6*'T3 Inputs'!$B$46</f>
        <v>145351.818619339</v>
      </c>
      <c r="H6" s="45">
        <f>F6*'T3 Inputs'!$B$39*'T3 Inputs'!$B$35</f>
        <v>4945242.9124845993</v>
      </c>
      <c r="I6" s="45">
        <f t="shared" si="1"/>
        <v>5090594.7311039381</v>
      </c>
      <c r="J6" s="158">
        <f>I6/((1+'T3 Inputs'!$B$4)^(B6-2016))</f>
        <v>3392078.2136724195</v>
      </c>
    </row>
    <row r="7" spans="1:10" x14ac:dyDescent="0.2">
      <c r="A7" s="257">
        <f t="shared" si="2"/>
        <v>4</v>
      </c>
      <c r="B7" s="70">
        <f t="shared" si="3"/>
        <v>2023</v>
      </c>
      <c r="C7" s="8">
        <f>'T4 Globalplex Cargo'!M19</f>
        <v>1869201.8126047803</v>
      </c>
      <c r="D7" s="105">
        <f>C7/'T3 Inputs'!$B$45</f>
        <v>9585.650321050156</v>
      </c>
      <c r="E7" s="52">
        <f>C7/'T3 Inputs'!$B$44</f>
        <v>4117.1846092616306</v>
      </c>
      <c r="F7" s="9">
        <f t="shared" si="0"/>
        <v>5468.4657117885254</v>
      </c>
      <c r="G7" s="307">
        <f>F7*'T3 Inputs'!$B$46</f>
        <v>145351.818619339</v>
      </c>
      <c r="H7" s="45">
        <f>F7*'T3 Inputs'!$B$39*'T3 Inputs'!$B$35</f>
        <v>4945242.9124845993</v>
      </c>
      <c r="I7" s="45">
        <f t="shared" si="1"/>
        <v>5090594.7311039381</v>
      </c>
      <c r="J7" s="158">
        <f>I7/((1+'T3 Inputs'!$B$4)^(B7-2016))</f>
        <v>3170166.5548340371</v>
      </c>
    </row>
    <row r="8" spans="1:10" x14ac:dyDescent="0.2">
      <c r="A8" s="257">
        <f t="shared" si="2"/>
        <v>5</v>
      </c>
      <c r="B8" s="70">
        <f t="shared" si="3"/>
        <v>2024</v>
      </c>
      <c r="C8" s="8">
        <f>'T4 Globalplex Cargo'!M20</f>
        <v>1869201.8126047803</v>
      </c>
      <c r="D8" s="105">
        <f>C8/'T3 Inputs'!$B$45</f>
        <v>9585.650321050156</v>
      </c>
      <c r="E8" s="52">
        <f>C8/'T3 Inputs'!$B$44</f>
        <v>4117.1846092616306</v>
      </c>
      <c r="F8" s="9">
        <f t="shared" si="0"/>
        <v>5468.4657117885254</v>
      </c>
      <c r="G8" s="307">
        <f>F8*'T3 Inputs'!$B$46</f>
        <v>145351.818619339</v>
      </c>
      <c r="H8" s="45">
        <f>F8*'T3 Inputs'!$B$39*'T3 Inputs'!$B$35</f>
        <v>4945242.9124845993</v>
      </c>
      <c r="I8" s="45">
        <f t="shared" si="1"/>
        <v>5090594.7311039381</v>
      </c>
      <c r="J8" s="158">
        <f>I8/((1+'T3 Inputs'!$B$4)^(B8-2016))</f>
        <v>2962772.4811533056</v>
      </c>
    </row>
    <row r="9" spans="1:10" x14ac:dyDescent="0.2">
      <c r="A9" s="257">
        <f t="shared" si="2"/>
        <v>6</v>
      </c>
      <c r="B9" s="70">
        <f t="shared" si="3"/>
        <v>2025</v>
      </c>
      <c r="C9" s="8">
        <f>'T4 Globalplex Cargo'!M21</f>
        <v>1869201.8126047803</v>
      </c>
      <c r="D9" s="105">
        <f>C9/'T3 Inputs'!$B$45</f>
        <v>9585.650321050156</v>
      </c>
      <c r="E9" s="52">
        <f>C9/'T3 Inputs'!$B$44</f>
        <v>4117.1846092616306</v>
      </c>
      <c r="F9" s="9">
        <f t="shared" si="0"/>
        <v>5468.4657117885254</v>
      </c>
      <c r="G9" s="307">
        <f>F9*'T3 Inputs'!$B$46</f>
        <v>145351.818619339</v>
      </c>
      <c r="H9" s="45">
        <f>F9*'T3 Inputs'!$B$39*'T3 Inputs'!$B$35</f>
        <v>4945242.9124845993</v>
      </c>
      <c r="I9" s="45">
        <f t="shared" si="1"/>
        <v>5090594.7311039381</v>
      </c>
      <c r="J9" s="158">
        <f>I9/((1+'T3 Inputs'!$B$4)^(B9-2016))</f>
        <v>2768946.2440685094</v>
      </c>
    </row>
    <row r="10" spans="1:10" x14ac:dyDescent="0.2">
      <c r="A10" s="257">
        <f t="shared" si="2"/>
        <v>7</v>
      </c>
      <c r="B10" s="70">
        <f t="shared" si="3"/>
        <v>2026</v>
      </c>
      <c r="C10" s="8">
        <f>'T4 Globalplex Cargo'!M22</f>
        <v>1869201.8126047803</v>
      </c>
      <c r="D10" s="105">
        <f>C10/'T3 Inputs'!$B$45</f>
        <v>9585.650321050156</v>
      </c>
      <c r="E10" s="52">
        <f>C10/'T3 Inputs'!$B$44</f>
        <v>4117.1846092616306</v>
      </c>
      <c r="F10" s="9">
        <f t="shared" si="0"/>
        <v>5468.4657117885254</v>
      </c>
      <c r="G10" s="307">
        <f>F10*'T3 Inputs'!$B$46</f>
        <v>145351.818619339</v>
      </c>
      <c r="H10" s="45">
        <f>F10*'T3 Inputs'!$B$39*'T3 Inputs'!$B$35</f>
        <v>4945242.9124845993</v>
      </c>
      <c r="I10" s="45">
        <f t="shared" si="1"/>
        <v>5090594.7311039381</v>
      </c>
      <c r="J10" s="158">
        <f>I10/((1+'T3 Inputs'!$B$4)^(B10-2016))</f>
        <v>2587800.2281014109</v>
      </c>
    </row>
    <row r="11" spans="1:10" x14ac:dyDescent="0.2">
      <c r="A11" s="257">
        <f t="shared" si="2"/>
        <v>8</v>
      </c>
      <c r="B11" s="70">
        <f t="shared" si="3"/>
        <v>2027</v>
      </c>
      <c r="C11" s="8">
        <f>'T4 Globalplex Cargo'!M23</f>
        <v>1869201.8126047803</v>
      </c>
      <c r="D11" s="105">
        <f>C11/'T3 Inputs'!$B$45</f>
        <v>9585.650321050156</v>
      </c>
      <c r="E11" s="52">
        <f>C11/'T3 Inputs'!$B$44</f>
        <v>4117.1846092616306</v>
      </c>
      <c r="F11" s="9">
        <f t="shared" si="0"/>
        <v>5468.4657117885254</v>
      </c>
      <c r="G11" s="307">
        <f>F11*'T3 Inputs'!$B$46</f>
        <v>145351.818619339</v>
      </c>
      <c r="H11" s="45">
        <f>F11*'T3 Inputs'!$B$39*'T3 Inputs'!$B$35</f>
        <v>4945242.9124845993</v>
      </c>
      <c r="I11" s="45">
        <f t="shared" si="1"/>
        <v>5090594.7311039381</v>
      </c>
      <c r="J11" s="158">
        <f>I11/((1+'T3 Inputs'!$B$4)^(B11-2016))</f>
        <v>2418504.8860760848</v>
      </c>
    </row>
    <row r="12" spans="1:10" x14ac:dyDescent="0.2">
      <c r="A12" s="257">
        <f t="shared" si="2"/>
        <v>9</v>
      </c>
      <c r="B12" s="70">
        <f t="shared" si="3"/>
        <v>2028</v>
      </c>
      <c r="C12" s="8">
        <f>'T4 Globalplex Cargo'!M24</f>
        <v>1869201.8126047803</v>
      </c>
      <c r="D12" s="105">
        <f>C12/'T3 Inputs'!$B$45</f>
        <v>9585.650321050156</v>
      </c>
      <c r="E12" s="52">
        <f>C12/'T3 Inputs'!$B$44</f>
        <v>4117.1846092616306</v>
      </c>
      <c r="F12" s="9">
        <f t="shared" si="0"/>
        <v>5468.4657117885254</v>
      </c>
      <c r="G12" s="307">
        <f>F12*'T3 Inputs'!$B$46</f>
        <v>145351.818619339</v>
      </c>
      <c r="H12" s="45">
        <f>F12*'T3 Inputs'!$B$39*'T3 Inputs'!$B$35</f>
        <v>4945242.9124845993</v>
      </c>
      <c r="I12" s="45">
        <f t="shared" si="1"/>
        <v>5090594.7311039381</v>
      </c>
      <c r="J12" s="158">
        <f>I12/((1+'T3 Inputs'!$B$4)^(B12-2016))</f>
        <v>2260284.9402580233</v>
      </c>
    </row>
    <row r="13" spans="1:10" x14ac:dyDescent="0.2">
      <c r="A13" s="257">
        <f t="shared" si="2"/>
        <v>10</v>
      </c>
      <c r="B13" s="70">
        <f t="shared" si="3"/>
        <v>2029</v>
      </c>
      <c r="C13" s="8">
        <f>'T4 Globalplex Cargo'!M25</f>
        <v>1869201.8126047803</v>
      </c>
      <c r="D13" s="105">
        <f>C13/'T3 Inputs'!$B$45</f>
        <v>9585.650321050156</v>
      </c>
      <c r="E13" s="52">
        <f>C13/'T3 Inputs'!$B$44</f>
        <v>4117.1846092616306</v>
      </c>
      <c r="F13" s="9">
        <f t="shared" si="0"/>
        <v>5468.4657117885254</v>
      </c>
      <c r="G13" s="307">
        <f>F13*'T3 Inputs'!$B$46</f>
        <v>145351.818619339</v>
      </c>
      <c r="H13" s="45">
        <f>F13*'T3 Inputs'!$B$39*'T3 Inputs'!$B$35</f>
        <v>4945242.9124845993</v>
      </c>
      <c r="I13" s="45">
        <f t="shared" si="1"/>
        <v>5090594.7311039381</v>
      </c>
      <c r="J13" s="158">
        <f>I13/((1+'T3 Inputs'!$B$4)^(B13-2016))</f>
        <v>2112415.8320168443</v>
      </c>
    </row>
    <row r="14" spans="1:10" x14ac:dyDescent="0.2">
      <c r="A14" s="257">
        <f t="shared" si="2"/>
        <v>11</v>
      </c>
      <c r="B14" s="70">
        <f t="shared" si="3"/>
        <v>2030</v>
      </c>
      <c r="C14" s="8">
        <f>'T4 Globalplex Cargo'!M26</f>
        <v>1869201.8126047803</v>
      </c>
      <c r="D14" s="105">
        <f>C14/'T3 Inputs'!$B$45</f>
        <v>9585.650321050156</v>
      </c>
      <c r="E14" s="52">
        <f>C14/'T3 Inputs'!$B$44</f>
        <v>4117.1846092616306</v>
      </c>
      <c r="F14" s="9">
        <f t="shared" si="0"/>
        <v>5468.4657117885254</v>
      </c>
      <c r="G14" s="307">
        <f>F14*'T3 Inputs'!$B$46</f>
        <v>145351.818619339</v>
      </c>
      <c r="H14" s="45">
        <f>F14*'T3 Inputs'!$B$39*'T3 Inputs'!$B$35</f>
        <v>4945242.9124845993</v>
      </c>
      <c r="I14" s="45">
        <f t="shared" si="1"/>
        <v>5090594.7311039381</v>
      </c>
      <c r="J14" s="158">
        <f>I14/((1+'T3 Inputs'!$B$4)^(B14-2016))</f>
        <v>1974220.4037540602</v>
      </c>
    </row>
    <row r="15" spans="1:10" x14ac:dyDescent="0.2">
      <c r="A15" s="257">
        <f t="shared" si="2"/>
        <v>12</v>
      </c>
      <c r="B15" s="70">
        <f t="shared" si="3"/>
        <v>2031</v>
      </c>
      <c r="C15" s="8">
        <f>'T4 Globalplex Cargo'!M27</f>
        <v>1869201.8126047803</v>
      </c>
      <c r="D15" s="105">
        <f>C15/'T3 Inputs'!$B$45</f>
        <v>9585.650321050156</v>
      </c>
      <c r="E15" s="52">
        <f>C15/'T3 Inputs'!$B$44</f>
        <v>4117.1846092616306</v>
      </c>
      <c r="F15" s="9">
        <f t="shared" si="0"/>
        <v>5468.4657117885254</v>
      </c>
      <c r="G15" s="307">
        <f>F15*'T3 Inputs'!$B$46</f>
        <v>145351.818619339</v>
      </c>
      <c r="H15" s="45">
        <f>F15*'T3 Inputs'!$B$39*'T3 Inputs'!$B$35</f>
        <v>4945242.9124845993</v>
      </c>
      <c r="I15" s="45">
        <f t="shared" si="1"/>
        <v>5090594.7311039381</v>
      </c>
      <c r="J15" s="158">
        <f>I15/((1+'T3 Inputs'!$B$4)^(B15-2016))</f>
        <v>1845065.7979009906</v>
      </c>
    </row>
    <row r="16" spans="1:10" x14ac:dyDescent="0.2">
      <c r="A16" s="257">
        <f t="shared" si="2"/>
        <v>13</v>
      </c>
      <c r="B16" s="70">
        <f t="shared" si="3"/>
        <v>2032</v>
      </c>
      <c r="C16" s="8">
        <f>'T4 Globalplex Cargo'!M28</f>
        <v>1869201.8126047803</v>
      </c>
      <c r="D16" s="105">
        <f>C16/'T3 Inputs'!$B$45</f>
        <v>9585.650321050156</v>
      </c>
      <c r="E16" s="52">
        <f>C16/'T3 Inputs'!$B$44</f>
        <v>4117.1846092616306</v>
      </c>
      <c r="F16" s="9">
        <f t="shared" si="0"/>
        <v>5468.4657117885254</v>
      </c>
      <c r="G16" s="307">
        <f>F16*'T3 Inputs'!$B$46</f>
        <v>145351.818619339</v>
      </c>
      <c r="H16" s="45">
        <f>F16*'T3 Inputs'!$B$39*'T3 Inputs'!$B$35</f>
        <v>4945242.9124845993</v>
      </c>
      <c r="I16" s="45">
        <f t="shared" si="1"/>
        <v>5090594.7311039381</v>
      </c>
      <c r="J16" s="158">
        <f>I16/((1+'T3 Inputs'!$B$4)^(B16-2016))</f>
        <v>1724360.5587859727</v>
      </c>
    </row>
    <row r="17" spans="1:10" x14ac:dyDescent="0.2">
      <c r="A17" s="257">
        <f t="shared" si="2"/>
        <v>14</v>
      </c>
      <c r="B17" s="70">
        <f t="shared" si="3"/>
        <v>2033</v>
      </c>
      <c r="C17" s="8">
        <f>'T4 Globalplex Cargo'!M29</f>
        <v>1869201.8126047803</v>
      </c>
      <c r="D17" s="105">
        <f>C17/'T3 Inputs'!$B$45</f>
        <v>9585.650321050156</v>
      </c>
      <c r="E17" s="52">
        <f>C17/'T3 Inputs'!$B$44</f>
        <v>4117.1846092616306</v>
      </c>
      <c r="F17" s="9">
        <f t="shared" si="0"/>
        <v>5468.4657117885254</v>
      </c>
      <c r="G17" s="307">
        <f>F17*'T3 Inputs'!$B$46</f>
        <v>145351.818619339</v>
      </c>
      <c r="H17" s="45">
        <f>F17*'T3 Inputs'!$B$39*'T3 Inputs'!$B$35</f>
        <v>4945242.9124845993</v>
      </c>
      <c r="I17" s="45">
        <f t="shared" si="1"/>
        <v>5090594.7311039381</v>
      </c>
      <c r="J17" s="158">
        <f>I17/((1+'T3 Inputs'!$B$4)^(B17-2016))</f>
        <v>1611551.92409904</v>
      </c>
    </row>
    <row r="18" spans="1:10" x14ac:dyDescent="0.2">
      <c r="A18" s="257">
        <f t="shared" si="2"/>
        <v>15</v>
      </c>
      <c r="B18" s="70">
        <f t="shared" si="3"/>
        <v>2034</v>
      </c>
      <c r="C18" s="8">
        <f>'T4 Globalplex Cargo'!M30</f>
        <v>1869201.8126047803</v>
      </c>
      <c r="D18" s="105">
        <f>C18/'T3 Inputs'!$B$45</f>
        <v>9585.650321050156</v>
      </c>
      <c r="E18" s="52">
        <f>C18/'T3 Inputs'!$B$44</f>
        <v>4117.1846092616306</v>
      </c>
      <c r="F18" s="9">
        <f t="shared" si="0"/>
        <v>5468.4657117885254</v>
      </c>
      <c r="G18" s="307">
        <f>F18*'T3 Inputs'!$B$46</f>
        <v>145351.818619339</v>
      </c>
      <c r="H18" s="45">
        <f>F18*'T3 Inputs'!$B$39*'T3 Inputs'!$B$35</f>
        <v>4945242.9124845993</v>
      </c>
      <c r="I18" s="45">
        <f t="shared" si="1"/>
        <v>5090594.7311039381</v>
      </c>
      <c r="J18" s="158">
        <f>I18/((1+'T3 Inputs'!$B$4)^(B18-2016))</f>
        <v>1506123.2935505046</v>
      </c>
    </row>
    <row r="19" spans="1:10" x14ac:dyDescent="0.2">
      <c r="A19" s="257">
        <f t="shared" si="2"/>
        <v>16</v>
      </c>
      <c r="B19" s="70">
        <f t="shared" si="3"/>
        <v>2035</v>
      </c>
      <c r="C19" s="8">
        <f>'T4 Globalplex Cargo'!M31</f>
        <v>1869201.8126047803</v>
      </c>
      <c r="D19" s="105">
        <f>C19/'T3 Inputs'!$B$45</f>
        <v>9585.650321050156</v>
      </c>
      <c r="E19" s="52">
        <f>C19/'T3 Inputs'!$B$44</f>
        <v>4117.1846092616306</v>
      </c>
      <c r="F19" s="9">
        <f t="shared" si="0"/>
        <v>5468.4657117885254</v>
      </c>
      <c r="G19" s="307">
        <f>F19*'T3 Inputs'!$B$46</f>
        <v>145351.818619339</v>
      </c>
      <c r="H19" s="45">
        <f>F19*'T3 Inputs'!$B$39*'T3 Inputs'!$B$35</f>
        <v>4945242.9124845993</v>
      </c>
      <c r="I19" s="45">
        <f t="shared" si="1"/>
        <v>5090594.7311039381</v>
      </c>
      <c r="J19" s="158">
        <f>I19/((1+'T3 Inputs'!$B$4)^(B19-2016))</f>
        <v>1407591.8631313127</v>
      </c>
    </row>
    <row r="20" spans="1:10" x14ac:dyDescent="0.2">
      <c r="A20" s="257">
        <f t="shared" si="2"/>
        <v>17</v>
      </c>
      <c r="B20" s="70">
        <f t="shared" si="3"/>
        <v>2036</v>
      </c>
      <c r="C20" s="8">
        <f>'T4 Globalplex Cargo'!M32</f>
        <v>1869201.8126047803</v>
      </c>
      <c r="D20" s="105">
        <f>C20/'T3 Inputs'!$B$45</f>
        <v>9585.650321050156</v>
      </c>
      <c r="E20" s="52">
        <f>C20/'T3 Inputs'!$B$44</f>
        <v>4117.1846092616306</v>
      </c>
      <c r="F20" s="9">
        <f t="shared" si="0"/>
        <v>5468.4657117885254</v>
      </c>
      <c r="G20" s="307">
        <f>F20*'T3 Inputs'!$B$46</f>
        <v>145351.818619339</v>
      </c>
      <c r="H20" s="45">
        <f>F20*'T3 Inputs'!$B$39*'T3 Inputs'!$B$35</f>
        <v>4945242.9124845993</v>
      </c>
      <c r="I20" s="45">
        <f t="shared" si="1"/>
        <v>5090594.7311039381</v>
      </c>
      <c r="J20" s="158">
        <f>I20/((1+'T3 Inputs'!$B$4)^(B20-2016))</f>
        <v>1315506.4141414138</v>
      </c>
    </row>
    <row r="21" spans="1:10" x14ac:dyDescent="0.2">
      <c r="A21" s="257">
        <f t="shared" si="2"/>
        <v>18</v>
      </c>
      <c r="B21" s="70">
        <f t="shared" si="3"/>
        <v>2037</v>
      </c>
      <c r="C21" s="8">
        <f>'T4 Globalplex Cargo'!M33</f>
        <v>1869201.8126047803</v>
      </c>
      <c r="D21" s="105">
        <f>C21/'T3 Inputs'!$B$45</f>
        <v>9585.650321050156</v>
      </c>
      <c r="E21" s="52">
        <f>C21/'T3 Inputs'!$B$44</f>
        <v>4117.1846092616306</v>
      </c>
      <c r="F21" s="9">
        <f t="shared" si="0"/>
        <v>5468.4657117885254</v>
      </c>
      <c r="G21" s="307">
        <f>F21*'T3 Inputs'!$B$46</f>
        <v>145351.818619339</v>
      </c>
      <c r="H21" s="45">
        <f>F21*'T3 Inputs'!$B$39*'T3 Inputs'!$B$35</f>
        <v>4945242.9124845993</v>
      </c>
      <c r="I21" s="45">
        <f t="shared" si="1"/>
        <v>5090594.7311039381</v>
      </c>
      <c r="J21" s="158">
        <f>I21/((1+'T3 Inputs'!$B$4)^(B21-2016))</f>
        <v>1229445.2468611342</v>
      </c>
    </row>
    <row r="22" spans="1:10" x14ac:dyDescent="0.2">
      <c r="A22" s="257">
        <f t="shared" si="2"/>
        <v>19</v>
      </c>
      <c r="B22" s="70">
        <f t="shared" si="3"/>
        <v>2038</v>
      </c>
      <c r="C22" s="8">
        <f>'T4 Globalplex Cargo'!M34</f>
        <v>1869201.8126047803</v>
      </c>
      <c r="D22" s="105">
        <f>C22/'T3 Inputs'!$B$45</f>
        <v>9585.650321050156</v>
      </c>
      <c r="E22" s="52">
        <f>C22/'T3 Inputs'!$B$44</f>
        <v>4117.1846092616306</v>
      </c>
      <c r="F22" s="9">
        <f t="shared" si="0"/>
        <v>5468.4657117885254</v>
      </c>
      <c r="G22" s="307">
        <f>F22*'T3 Inputs'!$B$46</f>
        <v>145351.818619339</v>
      </c>
      <c r="H22" s="45">
        <f>F22*'T3 Inputs'!$B$39*'T3 Inputs'!$B$35</f>
        <v>4945242.9124845993</v>
      </c>
      <c r="I22" s="45">
        <f t="shared" si="1"/>
        <v>5090594.7311039381</v>
      </c>
      <c r="J22" s="158">
        <f>I22/((1+'T3 Inputs'!$B$4)^(B22-2016))</f>
        <v>1149014.2494029293</v>
      </c>
    </row>
    <row r="23" spans="1:10" x14ac:dyDescent="0.2">
      <c r="A23" s="257">
        <f t="shared" si="2"/>
        <v>20</v>
      </c>
      <c r="B23" s="70">
        <f t="shared" si="3"/>
        <v>2039</v>
      </c>
      <c r="C23" s="8">
        <f>'T4 Globalplex Cargo'!M35</f>
        <v>1869201.8126047803</v>
      </c>
      <c r="D23" s="105">
        <f>C23/'T3 Inputs'!$B$45</f>
        <v>9585.650321050156</v>
      </c>
      <c r="E23" s="52">
        <f>C23/'T3 Inputs'!$B$44</f>
        <v>4117.1846092616306</v>
      </c>
      <c r="F23" s="9">
        <f t="shared" si="0"/>
        <v>5468.4657117885254</v>
      </c>
      <c r="G23" s="45">
        <f>F23*'T3 Inputs'!$B$46</f>
        <v>145351.818619339</v>
      </c>
      <c r="H23" s="45">
        <f>F23*'T3 Inputs'!$B$39*'T3 Inputs'!$B$35</f>
        <v>4945242.9124845993</v>
      </c>
      <c r="I23" s="45">
        <f t="shared" si="1"/>
        <v>5090594.7311039381</v>
      </c>
      <c r="J23" s="158">
        <f>I23/((1+'T3 Inputs'!$B$4)^(B23-2016))</f>
        <v>1073845.0928999339</v>
      </c>
    </row>
    <row r="24" spans="1:10" x14ac:dyDescent="0.2">
      <c r="A24" s="257">
        <f t="shared" si="2"/>
        <v>21</v>
      </c>
      <c r="B24" s="70">
        <f t="shared" si="3"/>
        <v>2040</v>
      </c>
      <c r="C24" s="8">
        <f>'T4 Globalplex Cargo'!M36</f>
        <v>1869201.8126047803</v>
      </c>
      <c r="D24" s="105">
        <f>C24/'T3 Inputs'!$B$45</f>
        <v>9585.650321050156</v>
      </c>
      <c r="E24" s="52">
        <f>C24/'T3 Inputs'!$B$44</f>
        <v>4117.1846092616306</v>
      </c>
      <c r="F24" s="9">
        <f t="shared" si="0"/>
        <v>5468.4657117885254</v>
      </c>
      <c r="G24" s="45">
        <f>F24*'T3 Inputs'!$B$46</f>
        <v>145351.818619339</v>
      </c>
      <c r="H24" s="45">
        <f>F24*'T3 Inputs'!$B$39*'T3 Inputs'!$B$35</f>
        <v>4945242.9124845993</v>
      </c>
      <c r="I24" s="45">
        <f t="shared" si="1"/>
        <v>5090594.7311039381</v>
      </c>
      <c r="J24" s="158">
        <f>I24/((1+'T3 Inputs'!$B$4)^(B24-2016))</f>
        <v>1003593.5447662933</v>
      </c>
    </row>
    <row r="25" spans="1:10" x14ac:dyDescent="0.2">
      <c r="A25" s="257">
        <f t="shared" si="2"/>
        <v>22</v>
      </c>
      <c r="B25" s="70">
        <f t="shared" si="3"/>
        <v>2041</v>
      </c>
      <c r="C25" s="8">
        <f>'T4 Globalplex Cargo'!M37</f>
        <v>1869201.8126047803</v>
      </c>
      <c r="D25" s="105">
        <f>C25/'T3 Inputs'!$B$45</f>
        <v>9585.650321050156</v>
      </c>
      <c r="E25" s="52">
        <f>C25/'T3 Inputs'!$B$44</f>
        <v>4117.1846092616306</v>
      </c>
      <c r="F25" s="9">
        <f t="shared" si="0"/>
        <v>5468.4657117885254</v>
      </c>
      <c r="G25" s="45">
        <f>F25*'T3 Inputs'!$B$46</f>
        <v>145351.818619339</v>
      </c>
      <c r="H25" s="45">
        <f>F25*'T3 Inputs'!$B$39*'T3 Inputs'!$B$35</f>
        <v>4945242.9124845993</v>
      </c>
      <c r="I25" s="45">
        <f t="shared" si="1"/>
        <v>5090594.7311039381</v>
      </c>
      <c r="J25" s="158">
        <f>I25/((1+'T3 Inputs'!$B$4)^(B25-2016))</f>
        <v>937937.8923049469</v>
      </c>
    </row>
    <row r="26" spans="1:10" x14ac:dyDescent="0.2">
      <c r="A26" s="257">
        <f t="shared" si="2"/>
        <v>23</v>
      </c>
      <c r="B26" s="70">
        <f t="shared" si="3"/>
        <v>2042</v>
      </c>
      <c r="C26" s="8">
        <f>'T4 Globalplex Cargo'!M38</f>
        <v>1869201.8126047803</v>
      </c>
      <c r="D26" s="105">
        <f>C26/'T3 Inputs'!$B$45</f>
        <v>9585.650321050156</v>
      </c>
      <c r="E26" s="52">
        <f>C26/'T3 Inputs'!$B$44</f>
        <v>4117.1846092616306</v>
      </c>
      <c r="F26" s="9">
        <f t="shared" si="0"/>
        <v>5468.4657117885254</v>
      </c>
      <c r="G26" s="45">
        <f>F26*'T3 Inputs'!$B$46</f>
        <v>145351.818619339</v>
      </c>
      <c r="H26" s="45">
        <f>F26*'T3 Inputs'!$B$39*'T3 Inputs'!$B$35</f>
        <v>4945242.9124845993</v>
      </c>
      <c r="I26" s="45">
        <f t="shared" si="1"/>
        <v>5090594.7311039381</v>
      </c>
      <c r="J26" s="158">
        <f>I26/((1+'T3 Inputs'!$B$4)^(B26-2016))</f>
        <v>876577.46944387571</v>
      </c>
    </row>
    <row r="27" spans="1:10" x14ac:dyDescent="0.2">
      <c r="A27" s="257">
        <f t="shared" si="2"/>
        <v>24</v>
      </c>
      <c r="B27" s="70">
        <f t="shared" si="3"/>
        <v>2043</v>
      </c>
      <c r="C27" s="8">
        <f>'T4 Globalplex Cargo'!M39</f>
        <v>1869201.8126047803</v>
      </c>
      <c r="D27" s="105">
        <f>C27/'T3 Inputs'!$B$45</f>
        <v>9585.650321050156</v>
      </c>
      <c r="E27" s="52">
        <f>C27/'T3 Inputs'!$B$44</f>
        <v>4117.1846092616306</v>
      </c>
      <c r="F27" s="9">
        <f t="shared" si="0"/>
        <v>5468.4657117885254</v>
      </c>
      <c r="G27" s="45">
        <f>F27*'T3 Inputs'!$B$46</f>
        <v>145351.818619339</v>
      </c>
      <c r="H27" s="45">
        <f>F27*'T3 Inputs'!$B$39*'T3 Inputs'!$B$35</f>
        <v>4945242.9124845993</v>
      </c>
      <c r="I27" s="45">
        <f t="shared" si="1"/>
        <v>5090594.7311039381</v>
      </c>
      <c r="J27" s="158">
        <f>I27/((1+'T3 Inputs'!$B$4)^(B27-2016))</f>
        <v>819231.27985408925</v>
      </c>
    </row>
    <row r="28" spans="1:10" x14ac:dyDescent="0.2">
      <c r="A28" s="257">
        <f t="shared" si="2"/>
        <v>25</v>
      </c>
      <c r="B28" s="70">
        <f t="shared" si="3"/>
        <v>2044</v>
      </c>
      <c r="C28" s="8">
        <f>'T4 Globalplex Cargo'!M40</f>
        <v>1869201.8126047803</v>
      </c>
      <c r="D28" s="105">
        <f>C28/'T3 Inputs'!$B$45</f>
        <v>9585.650321050156</v>
      </c>
      <c r="E28" s="52">
        <f>C28/'T3 Inputs'!$B$44</f>
        <v>4117.1846092616306</v>
      </c>
      <c r="F28" s="9">
        <f t="shared" si="0"/>
        <v>5468.4657117885254</v>
      </c>
      <c r="G28" s="45">
        <f>F28*'T3 Inputs'!$B$46</f>
        <v>145351.818619339</v>
      </c>
      <c r="H28" s="45">
        <f>F28*'T3 Inputs'!$B$39*'T3 Inputs'!$B$35</f>
        <v>4945242.9124845993</v>
      </c>
      <c r="I28" s="45">
        <f t="shared" si="1"/>
        <v>5090594.7311039381</v>
      </c>
      <c r="J28" s="158">
        <f>I28/((1+'T3 Inputs'!$B$4)^(B28-2016))</f>
        <v>765636.71014400886</v>
      </c>
    </row>
    <row r="29" spans="1:10" x14ac:dyDescent="0.2">
      <c r="A29" s="257">
        <f t="shared" si="2"/>
        <v>26</v>
      </c>
      <c r="B29" s="70">
        <f t="shared" si="3"/>
        <v>2045</v>
      </c>
      <c r="C29" s="8">
        <f>'T4 Globalplex Cargo'!M41</f>
        <v>1869201.8126047803</v>
      </c>
      <c r="D29" s="105">
        <f>C29/'T3 Inputs'!$B$45</f>
        <v>9585.650321050156</v>
      </c>
      <c r="E29" s="52">
        <f>C29/'T3 Inputs'!$B$44</f>
        <v>4117.1846092616306</v>
      </c>
      <c r="F29" s="9">
        <f t="shared" si="0"/>
        <v>5468.4657117885254</v>
      </c>
      <c r="G29" s="45">
        <f>F29*'T3 Inputs'!$B$46</f>
        <v>145351.818619339</v>
      </c>
      <c r="H29" s="45">
        <f>F29*'T3 Inputs'!$B$39*'T3 Inputs'!$B$35</f>
        <v>4945242.9124845993</v>
      </c>
      <c r="I29" s="45">
        <f t="shared" si="1"/>
        <v>5090594.7311039381</v>
      </c>
      <c r="J29" s="158">
        <f>I29/((1+'T3 Inputs'!$B$4)^(B29-2016))</f>
        <v>715548.32723739138</v>
      </c>
    </row>
    <row r="30" spans="1:10" x14ac:dyDescent="0.2">
      <c r="A30" s="257">
        <f t="shared" si="2"/>
        <v>27</v>
      </c>
      <c r="B30" s="70">
        <f t="shared" si="3"/>
        <v>2046</v>
      </c>
      <c r="C30" s="8">
        <f>'T4 Globalplex Cargo'!M42</f>
        <v>1869201.8126047803</v>
      </c>
      <c r="D30" s="105">
        <f>C30/'T3 Inputs'!$B$45</f>
        <v>9585.650321050156</v>
      </c>
      <c r="E30" s="52">
        <f>C30/'T3 Inputs'!$B$44</f>
        <v>4117.1846092616306</v>
      </c>
      <c r="F30" s="9">
        <f t="shared" si="0"/>
        <v>5468.4657117885254</v>
      </c>
      <c r="G30" s="45">
        <f>F30*'T3 Inputs'!$B$46</f>
        <v>145351.818619339</v>
      </c>
      <c r="H30" s="45">
        <f>F30*'T3 Inputs'!$B$39*'T3 Inputs'!$B$35</f>
        <v>4945242.9124845993</v>
      </c>
      <c r="I30" s="45">
        <f t="shared" si="1"/>
        <v>5090594.7311039381</v>
      </c>
      <c r="J30" s="158">
        <f>I30/((1+'T3 Inputs'!$B$4)^(B30-2016))</f>
        <v>668736.75442746864</v>
      </c>
    </row>
    <row r="31" spans="1:10" x14ac:dyDescent="0.2">
      <c r="A31" s="257">
        <f t="shared" si="2"/>
        <v>28</v>
      </c>
      <c r="B31" s="70">
        <f t="shared" si="3"/>
        <v>2047</v>
      </c>
      <c r="C31" s="8">
        <f>'T4 Globalplex Cargo'!M43</f>
        <v>1869201.8126047803</v>
      </c>
      <c r="D31" s="105">
        <f>C31/'T3 Inputs'!$B$45</f>
        <v>9585.650321050156</v>
      </c>
      <c r="E31" s="52">
        <f>C31/'T3 Inputs'!$B$44</f>
        <v>4117.1846092616306</v>
      </c>
      <c r="F31" s="9">
        <f t="shared" si="0"/>
        <v>5468.4657117885254</v>
      </c>
      <c r="G31" s="45">
        <f>F31*'T3 Inputs'!$B$46</f>
        <v>145351.818619339</v>
      </c>
      <c r="H31" s="45">
        <f>F31*'T3 Inputs'!$B$39*'T3 Inputs'!$B$35</f>
        <v>4945242.9124845993</v>
      </c>
      <c r="I31" s="45">
        <f t="shared" si="1"/>
        <v>5090594.7311039381</v>
      </c>
      <c r="J31" s="158">
        <f>I31/((1+'T3 Inputs'!$B$4)^(B31-2016))</f>
        <v>624987.62096025096</v>
      </c>
    </row>
    <row r="32" spans="1:10" x14ac:dyDescent="0.2">
      <c r="A32" s="257">
        <f t="shared" si="2"/>
        <v>29</v>
      </c>
      <c r="B32" s="70">
        <f t="shared" si="3"/>
        <v>2048</v>
      </c>
      <c r="C32" s="8">
        <f>'T4 Globalplex Cargo'!M44</f>
        <v>1869201.8126047803</v>
      </c>
      <c r="D32" s="105">
        <f>C32/'T3 Inputs'!$B$45</f>
        <v>9585.650321050156</v>
      </c>
      <c r="E32" s="52">
        <f>C32/'T3 Inputs'!$B$44</f>
        <v>4117.1846092616306</v>
      </c>
      <c r="F32" s="9">
        <f t="shared" si="0"/>
        <v>5468.4657117885254</v>
      </c>
      <c r="G32" s="45">
        <f>F32*'T3 Inputs'!$B$46</f>
        <v>145351.818619339</v>
      </c>
      <c r="H32" s="45">
        <f>F32*'T3 Inputs'!$B$39*'T3 Inputs'!$B$35</f>
        <v>4945242.9124845993</v>
      </c>
      <c r="I32" s="45">
        <f t="shared" si="1"/>
        <v>5090594.7311039381</v>
      </c>
      <c r="J32" s="158">
        <f>I32/((1+'T3 Inputs'!$B$4)^(B32-2016))</f>
        <v>584100.5803366832</v>
      </c>
    </row>
    <row r="33" spans="1:10" x14ac:dyDescent="0.2">
      <c r="A33" s="257">
        <f t="shared" si="2"/>
        <v>30</v>
      </c>
      <c r="B33" s="70">
        <f t="shared" si="3"/>
        <v>2049</v>
      </c>
      <c r="C33" s="8">
        <f>'T4 Globalplex Cargo'!M45</f>
        <v>1869201.8126047803</v>
      </c>
      <c r="D33" s="105">
        <f>C33/'T3 Inputs'!$B$45</f>
        <v>9585.650321050156</v>
      </c>
      <c r="E33" s="52">
        <f>C33/'T3 Inputs'!$B$44</f>
        <v>4117.1846092616306</v>
      </c>
      <c r="F33" s="9">
        <f t="shared" si="0"/>
        <v>5468.4657117885254</v>
      </c>
      <c r="G33" s="45">
        <f>F33*'T3 Inputs'!$B$46</f>
        <v>145351.818619339</v>
      </c>
      <c r="H33" s="45">
        <f>F33*'T3 Inputs'!$B$39*'T3 Inputs'!$B$35</f>
        <v>4945242.9124845993</v>
      </c>
      <c r="I33" s="45">
        <f t="shared" si="1"/>
        <v>5090594.7311039381</v>
      </c>
      <c r="J33" s="158">
        <f>I33/((1+'T3 Inputs'!$B$4)^(B33-2016))</f>
        <v>545888.39283802162</v>
      </c>
    </row>
    <row r="34" spans="1:10" ht="12.75" thickBot="1" x14ac:dyDescent="0.25">
      <c r="A34" s="258"/>
      <c r="B34" s="159" t="s">
        <v>0</v>
      </c>
      <c r="C34" s="102">
        <f t="shared" ref="C34:I34" si="4">SUM(C2:C33)</f>
        <v>58961025.098289311</v>
      </c>
      <c r="D34" s="106">
        <f t="shared" si="4"/>
        <v>302364.23127327877</v>
      </c>
      <c r="E34" s="108">
        <f t="shared" si="4"/>
        <v>138749.42927465169</v>
      </c>
      <c r="F34" s="107">
        <f t="shared" si="4"/>
        <v>163614.80199862702</v>
      </c>
      <c r="G34" s="308">
        <f t="shared" si="4"/>
        <v>4348881.4371235035</v>
      </c>
      <c r="H34" s="308">
        <f t="shared" si="4"/>
        <v>147960137.7433984</v>
      </c>
      <c r="I34" s="308">
        <f t="shared" si="4"/>
        <v>152309019.18052194</v>
      </c>
      <c r="J34" s="309">
        <f>SUM(J2:J33)</f>
        <v>51253157.911952242</v>
      </c>
    </row>
    <row r="35" spans="1:10" x14ac:dyDescent="0.2">
      <c r="G35" s="236"/>
    </row>
    <row r="36" spans="1:10" ht="12.75" thickBot="1" x14ac:dyDescent="0.25">
      <c r="C36" s="259"/>
      <c r="D36" s="175"/>
      <c r="G36" s="236"/>
    </row>
    <row r="37" spans="1:10" ht="60" x14ac:dyDescent="0.2">
      <c r="A37" s="303" t="s">
        <v>130</v>
      </c>
      <c r="B37" s="101" t="s">
        <v>2</v>
      </c>
      <c r="C37" s="101" t="s">
        <v>174</v>
      </c>
      <c r="D37" s="101" t="s">
        <v>178</v>
      </c>
      <c r="E37" s="101" t="s">
        <v>179</v>
      </c>
      <c r="F37" s="101" t="s">
        <v>374</v>
      </c>
      <c r="G37" s="306" t="s">
        <v>181</v>
      </c>
      <c r="H37" s="101" t="s">
        <v>182</v>
      </c>
      <c r="I37" s="101" t="s">
        <v>183</v>
      </c>
      <c r="J37" s="156" t="s">
        <v>184</v>
      </c>
    </row>
    <row r="38" spans="1:10" x14ac:dyDescent="0.2">
      <c r="A38" s="257">
        <f t="shared" ref="A38:A69" si="5">A2</f>
        <v>-1</v>
      </c>
      <c r="B38" s="71">
        <f t="shared" ref="B38:B69" si="6">B2</f>
        <v>2018</v>
      </c>
      <c r="C38" s="49">
        <f>ROUND(C2,-3)</f>
        <v>1454000</v>
      </c>
      <c r="D38" s="105">
        <f t="shared" ref="D38:J38" si="7">ROUND(D2,-3)</f>
        <v>7000</v>
      </c>
      <c r="E38" s="52">
        <f t="shared" si="7"/>
        <v>7000</v>
      </c>
      <c r="F38" s="52">
        <f t="shared" si="7"/>
        <v>0</v>
      </c>
      <c r="G38" s="307">
        <f t="shared" si="7"/>
        <v>0</v>
      </c>
      <c r="H38" s="45">
        <f t="shared" si="7"/>
        <v>0</v>
      </c>
      <c r="I38" s="45">
        <f t="shared" si="7"/>
        <v>0</v>
      </c>
      <c r="J38" s="158">
        <f t="shared" si="7"/>
        <v>0</v>
      </c>
    </row>
    <row r="39" spans="1:10" x14ac:dyDescent="0.2">
      <c r="A39" s="257">
        <f t="shared" si="5"/>
        <v>0</v>
      </c>
      <c r="B39" s="70">
        <f t="shared" si="6"/>
        <v>2019</v>
      </c>
      <c r="C39" s="49">
        <f t="shared" ref="C39:J39" si="8">ROUND(C3,-3)</f>
        <v>1581000</v>
      </c>
      <c r="D39" s="105">
        <f t="shared" si="8"/>
        <v>8000</v>
      </c>
      <c r="E39" s="52">
        <f t="shared" si="8"/>
        <v>8000</v>
      </c>
      <c r="F39" s="52">
        <f t="shared" si="8"/>
        <v>0</v>
      </c>
      <c r="G39" s="307">
        <f t="shared" si="8"/>
        <v>0</v>
      </c>
      <c r="H39" s="45">
        <f t="shared" si="8"/>
        <v>0</v>
      </c>
      <c r="I39" s="45">
        <f t="shared" si="8"/>
        <v>0</v>
      </c>
      <c r="J39" s="158">
        <f t="shared" si="8"/>
        <v>0</v>
      </c>
    </row>
    <row r="40" spans="1:10" x14ac:dyDescent="0.2">
      <c r="A40" s="257">
        <f t="shared" si="5"/>
        <v>1</v>
      </c>
      <c r="B40" s="70">
        <f t="shared" si="6"/>
        <v>2020</v>
      </c>
      <c r="C40" s="49">
        <f t="shared" ref="C40:J40" si="9">ROUND(C4,-3)</f>
        <v>1719000</v>
      </c>
      <c r="D40" s="105">
        <f t="shared" si="9"/>
        <v>9000</v>
      </c>
      <c r="E40" s="52">
        <f t="shared" si="9"/>
        <v>4000</v>
      </c>
      <c r="F40" s="52">
        <f t="shared" si="9"/>
        <v>5000</v>
      </c>
      <c r="G40" s="307">
        <f t="shared" si="9"/>
        <v>134000</v>
      </c>
      <c r="H40" s="45">
        <f t="shared" si="9"/>
        <v>4548000</v>
      </c>
      <c r="I40" s="45">
        <f t="shared" si="9"/>
        <v>4682000</v>
      </c>
      <c r="J40" s="158">
        <f t="shared" si="9"/>
        <v>3572000</v>
      </c>
    </row>
    <row r="41" spans="1:10" x14ac:dyDescent="0.2">
      <c r="A41" s="257">
        <f t="shared" si="5"/>
        <v>2</v>
      </c>
      <c r="B41" s="70">
        <f t="shared" si="6"/>
        <v>2021</v>
      </c>
      <c r="C41" s="49">
        <f t="shared" ref="C41:J41" si="10">ROUND(C5,-3)</f>
        <v>1869000</v>
      </c>
      <c r="D41" s="105">
        <f t="shared" si="10"/>
        <v>10000</v>
      </c>
      <c r="E41" s="52">
        <f t="shared" si="10"/>
        <v>4000</v>
      </c>
      <c r="F41" s="9">
        <f t="shared" si="10"/>
        <v>5000</v>
      </c>
      <c r="G41" s="307">
        <f t="shared" si="10"/>
        <v>145000</v>
      </c>
      <c r="H41" s="45">
        <f t="shared" si="10"/>
        <v>4945000</v>
      </c>
      <c r="I41" s="45">
        <f t="shared" si="10"/>
        <v>5091000</v>
      </c>
      <c r="J41" s="158">
        <f t="shared" si="10"/>
        <v>3630000</v>
      </c>
    </row>
    <row r="42" spans="1:10" x14ac:dyDescent="0.2">
      <c r="A42" s="257">
        <f t="shared" si="5"/>
        <v>3</v>
      </c>
      <c r="B42" s="70">
        <f t="shared" si="6"/>
        <v>2022</v>
      </c>
      <c r="C42" s="49">
        <f t="shared" ref="C42:J42" si="11">ROUND(C6,-3)</f>
        <v>1869000</v>
      </c>
      <c r="D42" s="105">
        <f t="shared" si="11"/>
        <v>10000</v>
      </c>
      <c r="E42" s="52">
        <f t="shared" si="11"/>
        <v>4000</v>
      </c>
      <c r="F42" s="9">
        <f t="shared" si="11"/>
        <v>5000</v>
      </c>
      <c r="G42" s="307">
        <f t="shared" si="11"/>
        <v>145000</v>
      </c>
      <c r="H42" s="45">
        <f t="shared" si="11"/>
        <v>4945000</v>
      </c>
      <c r="I42" s="45">
        <f t="shared" si="11"/>
        <v>5091000</v>
      </c>
      <c r="J42" s="158">
        <f t="shared" si="11"/>
        <v>3392000</v>
      </c>
    </row>
    <row r="43" spans="1:10" x14ac:dyDescent="0.2">
      <c r="A43" s="257">
        <f t="shared" si="5"/>
        <v>4</v>
      </c>
      <c r="B43" s="70">
        <f t="shared" si="6"/>
        <v>2023</v>
      </c>
      <c r="C43" s="49">
        <f t="shared" ref="C43:J43" si="12">ROUND(C7,-3)</f>
        <v>1869000</v>
      </c>
      <c r="D43" s="105">
        <f t="shared" si="12"/>
        <v>10000</v>
      </c>
      <c r="E43" s="52">
        <f t="shared" si="12"/>
        <v>4000</v>
      </c>
      <c r="F43" s="9">
        <f t="shared" si="12"/>
        <v>5000</v>
      </c>
      <c r="G43" s="307">
        <f t="shared" si="12"/>
        <v>145000</v>
      </c>
      <c r="H43" s="45">
        <f t="shared" si="12"/>
        <v>4945000</v>
      </c>
      <c r="I43" s="45">
        <f t="shared" si="12"/>
        <v>5091000</v>
      </c>
      <c r="J43" s="158">
        <f t="shared" si="12"/>
        <v>3170000</v>
      </c>
    </row>
    <row r="44" spans="1:10" x14ac:dyDescent="0.2">
      <c r="A44" s="257">
        <f t="shared" si="5"/>
        <v>5</v>
      </c>
      <c r="B44" s="70">
        <f t="shared" si="6"/>
        <v>2024</v>
      </c>
      <c r="C44" s="49">
        <f t="shared" ref="C44:J44" si="13">ROUND(C8,-3)</f>
        <v>1869000</v>
      </c>
      <c r="D44" s="105">
        <f t="shared" si="13"/>
        <v>10000</v>
      </c>
      <c r="E44" s="52">
        <f t="shared" si="13"/>
        <v>4000</v>
      </c>
      <c r="F44" s="9">
        <f t="shared" si="13"/>
        <v>5000</v>
      </c>
      <c r="G44" s="307">
        <f t="shared" si="13"/>
        <v>145000</v>
      </c>
      <c r="H44" s="45">
        <f t="shared" si="13"/>
        <v>4945000</v>
      </c>
      <c r="I44" s="45">
        <f t="shared" si="13"/>
        <v>5091000</v>
      </c>
      <c r="J44" s="158">
        <f t="shared" si="13"/>
        <v>2963000</v>
      </c>
    </row>
    <row r="45" spans="1:10" x14ac:dyDescent="0.2">
      <c r="A45" s="257">
        <f t="shared" si="5"/>
        <v>6</v>
      </c>
      <c r="B45" s="70">
        <f t="shared" si="6"/>
        <v>2025</v>
      </c>
      <c r="C45" s="49">
        <f t="shared" ref="C45:J45" si="14">ROUND(C9,-3)</f>
        <v>1869000</v>
      </c>
      <c r="D45" s="105">
        <f t="shared" si="14"/>
        <v>10000</v>
      </c>
      <c r="E45" s="52">
        <f t="shared" si="14"/>
        <v>4000</v>
      </c>
      <c r="F45" s="9">
        <f t="shared" si="14"/>
        <v>5000</v>
      </c>
      <c r="G45" s="307">
        <f t="shared" si="14"/>
        <v>145000</v>
      </c>
      <c r="H45" s="45">
        <f t="shared" si="14"/>
        <v>4945000</v>
      </c>
      <c r="I45" s="45">
        <f t="shared" si="14"/>
        <v>5091000</v>
      </c>
      <c r="J45" s="158">
        <f t="shared" si="14"/>
        <v>2769000</v>
      </c>
    </row>
    <row r="46" spans="1:10" x14ac:dyDescent="0.2">
      <c r="A46" s="257">
        <f t="shared" si="5"/>
        <v>7</v>
      </c>
      <c r="B46" s="70">
        <f t="shared" si="6"/>
        <v>2026</v>
      </c>
      <c r="C46" s="49">
        <f t="shared" ref="C46:J46" si="15">ROUND(C10,-3)</f>
        <v>1869000</v>
      </c>
      <c r="D46" s="105">
        <f t="shared" si="15"/>
        <v>10000</v>
      </c>
      <c r="E46" s="52">
        <f t="shared" si="15"/>
        <v>4000</v>
      </c>
      <c r="F46" s="9">
        <f t="shared" si="15"/>
        <v>5000</v>
      </c>
      <c r="G46" s="307">
        <f t="shared" si="15"/>
        <v>145000</v>
      </c>
      <c r="H46" s="45">
        <f t="shared" si="15"/>
        <v>4945000</v>
      </c>
      <c r="I46" s="45">
        <f t="shared" si="15"/>
        <v>5091000</v>
      </c>
      <c r="J46" s="158">
        <f t="shared" si="15"/>
        <v>2588000</v>
      </c>
    </row>
    <row r="47" spans="1:10" x14ac:dyDescent="0.2">
      <c r="A47" s="257">
        <f t="shared" si="5"/>
        <v>8</v>
      </c>
      <c r="B47" s="70">
        <f t="shared" si="6"/>
        <v>2027</v>
      </c>
      <c r="C47" s="49">
        <f t="shared" ref="C47:J47" si="16">ROUND(C11,-3)</f>
        <v>1869000</v>
      </c>
      <c r="D47" s="105">
        <f t="shared" si="16"/>
        <v>10000</v>
      </c>
      <c r="E47" s="52">
        <f t="shared" si="16"/>
        <v>4000</v>
      </c>
      <c r="F47" s="9">
        <f t="shared" si="16"/>
        <v>5000</v>
      </c>
      <c r="G47" s="307">
        <f t="shared" si="16"/>
        <v>145000</v>
      </c>
      <c r="H47" s="45">
        <f t="shared" si="16"/>
        <v>4945000</v>
      </c>
      <c r="I47" s="45">
        <f t="shared" si="16"/>
        <v>5091000</v>
      </c>
      <c r="J47" s="158">
        <f t="shared" si="16"/>
        <v>2419000</v>
      </c>
    </row>
    <row r="48" spans="1:10" x14ac:dyDescent="0.2">
      <c r="A48" s="257">
        <f t="shared" si="5"/>
        <v>9</v>
      </c>
      <c r="B48" s="70">
        <f t="shared" si="6"/>
        <v>2028</v>
      </c>
      <c r="C48" s="49">
        <f t="shared" ref="C48:J48" si="17">ROUND(C12,-3)</f>
        <v>1869000</v>
      </c>
      <c r="D48" s="105">
        <f t="shared" si="17"/>
        <v>10000</v>
      </c>
      <c r="E48" s="52">
        <f t="shared" si="17"/>
        <v>4000</v>
      </c>
      <c r="F48" s="9">
        <f t="shared" si="17"/>
        <v>5000</v>
      </c>
      <c r="G48" s="307">
        <f t="shared" si="17"/>
        <v>145000</v>
      </c>
      <c r="H48" s="45">
        <f t="shared" si="17"/>
        <v>4945000</v>
      </c>
      <c r="I48" s="45">
        <f t="shared" si="17"/>
        <v>5091000</v>
      </c>
      <c r="J48" s="158">
        <f t="shared" si="17"/>
        <v>2260000</v>
      </c>
    </row>
    <row r="49" spans="1:10" x14ac:dyDescent="0.2">
      <c r="A49" s="257">
        <f t="shared" si="5"/>
        <v>10</v>
      </c>
      <c r="B49" s="70">
        <f t="shared" si="6"/>
        <v>2029</v>
      </c>
      <c r="C49" s="49">
        <f t="shared" ref="C49:J49" si="18">ROUND(C13,-3)</f>
        <v>1869000</v>
      </c>
      <c r="D49" s="105">
        <f t="shared" si="18"/>
        <v>10000</v>
      </c>
      <c r="E49" s="52">
        <f t="shared" si="18"/>
        <v>4000</v>
      </c>
      <c r="F49" s="9">
        <f t="shared" si="18"/>
        <v>5000</v>
      </c>
      <c r="G49" s="307">
        <f t="shared" si="18"/>
        <v>145000</v>
      </c>
      <c r="H49" s="45">
        <f t="shared" si="18"/>
        <v>4945000</v>
      </c>
      <c r="I49" s="45">
        <f t="shared" si="18"/>
        <v>5091000</v>
      </c>
      <c r="J49" s="158">
        <f t="shared" si="18"/>
        <v>2112000</v>
      </c>
    </row>
    <row r="50" spans="1:10" x14ac:dyDescent="0.2">
      <c r="A50" s="257">
        <f t="shared" si="5"/>
        <v>11</v>
      </c>
      <c r="B50" s="70">
        <f t="shared" si="6"/>
        <v>2030</v>
      </c>
      <c r="C50" s="49">
        <f t="shared" ref="C50:J50" si="19">ROUND(C14,-3)</f>
        <v>1869000</v>
      </c>
      <c r="D50" s="105">
        <f t="shared" si="19"/>
        <v>10000</v>
      </c>
      <c r="E50" s="52">
        <f t="shared" si="19"/>
        <v>4000</v>
      </c>
      <c r="F50" s="9">
        <f t="shared" si="19"/>
        <v>5000</v>
      </c>
      <c r="G50" s="307">
        <f t="shared" si="19"/>
        <v>145000</v>
      </c>
      <c r="H50" s="45">
        <f t="shared" si="19"/>
        <v>4945000</v>
      </c>
      <c r="I50" s="45">
        <f t="shared" si="19"/>
        <v>5091000</v>
      </c>
      <c r="J50" s="158">
        <f t="shared" si="19"/>
        <v>1974000</v>
      </c>
    </row>
    <row r="51" spans="1:10" x14ac:dyDescent="0.2">
      <c r="A51" s="257">
        <f t="shared" si="5"/>
        <v>12</v>
      </c>
      <c r="B51" s="70">
        <f t="shared" si="6"/>
        <v>2031</v>
      </c>
      <c r="C51" s="49">
        <f t="shared" ref="C51:J51" si="20">ROUND(C15,-3)</f>
        <v>1869000</v>
      </c>
      <c r="D51" s="105">
        <f t="shared" si="20"/>
        <v>10000</v>
      </c>
      <c r="E51" s="52">
        <f t="shared" si="20"/>
        <v>4000</v>
      </c>
      <c r="F51" s="9">
        <f t="shared" si="20"/>
        <v>5000</v>
      </c>
      <c r="G51" s="307">
        <f t="shared" si="20"/>
        <v>145000</v>
      </c>
      <c r="H51" s="45">
        <f t="shared" si="20"/>
        <v>4945000</v>
      </c>
      <c r="I51" s="45">
        <f t="shared" si="20"/>
        <v>5091000</v>
      </c>
      <c r="J51" s="158">
        <f t="shared" si="20"/>
        <v>1845000</v>
      </c>
    </row>
    <row r="52" spans="1:10" x14ac:dyDescent="0.2">
      <c r="A52" s="257">
        <f t="shared" si="5"/>
        <v>13</v>
      </c>
      <c r="B52" s="70">
        <f t="shared" si="6"/>
        <v>2032</v>
      </c>
      <c r="C52" s="49">
        <f t="shared" ref="C52:J52" si="21">ROUND(C16,-3)</f>
        <v>1869000</v>
      </c>
      <c r="D52" s="105">
        <f t="shared" si="21"/>
        <v>10000</v>
      </c>
      <c r="E52" s="52">
        <f t="shared" si="21"/>
        <v>4000</v>
      </c>
      <c r="F52" s="9">
        <f t="shared" si="21"/>
        <v>5000</v>
      </c>
      <c r="G52" s="307">
        <f t="shared" si="21"/>
        <v>145000</v>
      </c>
      <c r="H52" s="45">
        <f t="shared" si="21"/>
        <v>4945000</v>
      </c>
      <c r="I52" s="45">
        <f t="shared" si="21"/>
        <v>5091000</v>
      </c>
      <c r="J52" s="158">
        <f t="shared" si="21"/>
        <v>1724000</v>
      </c>
    </row>
    <row r="53" spans="1:10" x14ac:dyDescent="0.2">
      <c r="A53" s="257">
        <f t="shared" si="5"/>
        <v>14</v>
      </c>
      <c r="B53" s="70">
        <f t="shared" si="6"/>
        <v>2033</v>
      </c>
      <c r="C53" s="49">
        <f t="shared" ref="C53:J53" si="22">ROUND(C17,-3)</f>
        <v>1869000</v>
      </c>
      <c r="D53" s="105">
        <f t="shared" si="22"/>
        <v>10000</v>
      </c>
      <c r="E53" s="52">
        <f t="shared" si="22"/>
        <v>4000</v>
      </c>
      <c r="F53" s="9">
        <f t="shared" si="22"/>
        <v>5000</v>
      </c>
      <c r="G53" s="307">
        <f t="shared" si="22"/>
        <v>145000</v>
      </c>
      <c r="H53" s="45">
        <f t="shared" si="22"/>
        <v>4945000</v>
      </c>
      <c r="I53" s="45">
        <f t="shared" si="22"/>
        <v>5091000</v>
      </c>
      <c r="J53" s="158">
        <f t="shared" si="22"/>
        <v>1612000</v>
      </c>
    </row>
    <row r="54" spans="1:10" x14ac:dyDescent="0.2">
      <c r="A54" s="257">
        <f t="shared" si="5"/>
        <v>15</v>
      </c>
      <c r="B54" s="70">
        <f t="shared" si="6"/>
        <v>2034</v>
      </c>
      <c r="C54" s="49">
        <f t="shared" ref="C54:J54" si="23">ROUND(C18,-3)</f>
        <v>1869000</v>
      </c>
      <c r="D54" s="105">
        <f t="shared" si="23"/>
        <v>10000</v>
      </c>
      <c r="E54" s="52">
        <f t="shared" si="23"/>
        <v>4000</v>
      </c>
      <c r="F54" s="9">
        <f t="shared" si="23"/>
        <v>5000</v>
      </c>
      <c r="G54" s="307">
        <f t="shared" si="23"/>
        <v>145000</v>
      </c>
      <c r="H54" s="45">
        <f t="shared" si="23"/>
        <v>4945000</v>
      </c>
      <c r="I54" s="45">
        <f t="shared" si="23"/>
        <v>5091000</v>
      </c>
      <c r="J54" s="158">
        <f t="shared" si="23"/>
        <v>1506000</v>
      </c>
    </row>
    <row r="55" spans="1:10" x14ac:dyDescent="0.2">
      <c r="A55" s="257">
        <f t="shared" si="5"/>
        <v>16</v>
      </c>
      <c r="B55" s="70">
        <f t="shared" si="6"/>
        <v>2035</v>
      </c>
      <c r="C55" s="49">
        <f t="shared" ref="C55:J55" si="24">ROUND(C19,-3)</f>
        <v>1869000</v>
      </c>
      <c r="D55" s="105">
        <f t="shared" si="24"/>
        <v>10000</v>
      </c>
      <c r="E55" s="52">
        <f t="shared" si="24"/>
        <v>4000</v>
      </c>
      <c r="F55" s="9">
        <f t="shared" si="24"/>
        <v>5000</v>
      </c>
      <c r="G55" s="307">
        <f t="shared" si="24"/>
        <v>145000</v>
      </c>
      <c r="H55" s="45">
        <f t="shared" si="24"/>
        <v>4945000</v>
      </c>
      <c r="I55" s="45">
        <f t="shared" si="24"/>
        <v>5091000</v>
      </c>
      <c r="J55" s="158">
        <f t="shared" si="24"/>
        <v>1408000</v>
      </c>
    </row>
    <row r="56" spans="1:10" x14ac:dyDescent="0.2">
      <c r="A56" s="257">
        <f t="shared" si="5"/>
        <v>17</v>
      </c>
      <c r="B56" s="70">
        <f t="shared" si="6"/>
        <v>2036</v>
      </c>
      <c r="C56" s="49">
        <f t="shared" ref="C56:J56" si="25">ROUND(C20,-3)</f>
        <v>1869000</v>
      </c>
      <c r="D56" s="105">
        <f t="shared" si="25"/>
        <v>10000</v>
      </c>
      <c r="E56" s="52">
        <f t="shared" si="25"/>
        <v>4000</v>
      </c>
      <c r="F56" s="9">
        <f t="shared" si="25"/>
        <v>5000</v>
      </c>
      <c r="G56" s="307">
        <f t="shared" si="25"/>
        <v>145000</v>
      </c>
      <c r="H56" s="45">
        <f t="shared" si="25"/>
        <v>4945000</v>
      </c>
      <c r="I56" s="45">
        <f t="shared" si="25"/>
        <v>5091000</v>
      </c>
      <c r="J56" s="158">
        <f t="shared" si="25"/>
        <v>1316000</v>
      </c>
    </row>
    <row r="57" spans="1:10" x14ac:dyDescent="0.2">
      <c r="A57" s="257">
        <f t="shared" si="5"/>
        <v>18</v>
      </c>
      <c r="B57" s="70">
        <f t="shared" si="6"/>
        <v>2037</v>
      </c>
      <c r="C57" s="49">
        <f t="shared" ref="C57:J57" si="26">ROUND(C21,-3)</f>
        <v>1869000</v>
      </c>
      <c r="D57" s="105">
        <f t="shared" si="26"/>
        <v>10000</v>
      </c>
      <c r="E57" s="52">
        <f t="shared" si="26"/>
        <v>4000</v>
      </c>
      <c r="F57" s="9">
        <f t="shared" si="26"/>
        <v>5000</v>
      </c>
      <c r="G57" s="307">
        <f t="shared" si="26"/>
        <v>145000</v>
      </c>
      <c r="H57" s="45">
        <f t="shared" si="26"/>
        <v>4945000</v>
      </c>
      <c r="I57" s="45">
        <f t="shared" si="26"/>
        <v>5091000</v>
      </c>
      <c r="J57" s="158">
        <f t="shared" si="26"/>
        <v>1229000</v>
      </c>
    </row>
    <row r="58" spans="1:10" x14ac:dyDescent="0.2">
      <c r="A58" s="257">
        <f t="shared" si="5"/>
        <v>19</v>
      </c>
      <c r="B58" s="70">
        <f t="shared" si="6"/>
        <v>2038</v>
      </c>
      <c r="C58" s="49">
        <f t="shared" ref="C58:J58" si="27">ROUND(C22,-3)</f>
        <v>1869000</v>
      </c>
      <c r="D58" s="105">
        <f t="shared" si="27"/>
        <v>10000</v>
      </c>
      <c r="E58" s="52">
        <f t="shared" si="27"/>
        <v>4000</v>
      </c>
      <c r="F58" s="9">
        <f t="shared" si="27"/>
        <v>5000</v>
      </c>
      <c r="G58" s="307">
        <f t="shared" si="27"/>
        <v>145000</v>
      </c>
      <c r="H58" s="45">
        <f t="shared" si="27"/>
        <v>4945000</v>
      </c>
      <c r="I58" s="45">
        <f t="shared" si="27"/>
        <v>5091000</v>
      </c>
      <c r="J58" s="158">
        <f t="shared" si="27"/>
        <v>1149000</v>
      </c>
    </row>
    <row r="59" spans="1:10" x14ac:dyDescent="0.2">
      <c r="A59" s="257">
        <f t="shared" si="5"/>
        <v>20</v>
      </c>
      <c r="B59" s="70">
        <f t="shared" si="6"/>
        <v>2039</v>
      </c>
      <c r="C59" s="49">
        <f t="shared" ref="C59:J59" si="28">ROUND(C23,-3)</f>
        <v>1869000</v>
      </c>
      <c r="D59" s="105">
        <f t="shared" si="28"/>
        <v>10000</v>
      </c>
      <c r="E59" s="52">
        <f t="shared" si="28"/>
        <v>4000</v>
      </c>
      <c r="F59" s="9">
        <f t="shared" si="28"/>
        <v>5000</v>
      </c>
      <c r="G59" s="45">
        <f t="shared" si="28"/>
        <v>145000</v>
      </c>
      <c r="H59" s="45">
        <f t="shared" si="28"/>
        <v>4945000</v>
      </c>
      <c r="I59" s="45">
        <f t="shared" si="28"/>
        <v>5091000</v>
      </c>
      <c r="J59" s="158">
        <f t="shared" si="28"/>
        <v>1074000</v>
      </c>
    </row>
    <row r="60" spans="1:10" x14ac:dyDescent="0.2">
      <c r="A60" s="257">
        <f t="shared" si="5"/>
        <v>21</v>
      </c>
      <c r="B60" s="70">
        <f t="shared" si="6"/>
        <v>2040</v>
      </c>
      <c r="C60" s="49">
        <f t="shared" ref="C60:J60" si="29">ROUND(C24,-3)</f>
        <v>1869000</v>
      </c>
      <c r="D60" s="105">
        <f t="shared" si="29"/>
        <v>10000</v>
      </c>
      <c r="E60" s="52">
        <f t="shared" si="29"/>
        <v>4000</v>
      </c>
      <c r="F60" s="9">
        <f t="shared" si="29"/>
        <v>5000</v>
      </c>
      <c r="G60" s="45">
        <f t="shared" si="29"/>
        <v>145000</v>
      </c>
      <c r="H60" s="45">
        <f t="shared" si="29"/>
        <v>4945000</v>
      </c>
      <c r="I60" s="45">
        <f t="shared" si="29"/>
        <v>5091000</v>
      </c>
      <c r="J60" s="158">
        <f t="shared" si="29"/>
        <v>1004000</v>
      </c>
    </row>
    <row r="61" spans="1:10" x14ac:dyDescent="0.2">
      <c r="A61" s="257">
        <f t="shared" si="5"/>
        <v>22</v>
      </c>
      <c r="B61" s="70">
        <f t="shared" si="6"/>
        <v>2041</v>
      </c>
      <c r="C61" s="49">
        <f t="shared" ref="C61:J61" si="30">ROUND(C25,-3)</f>
        <v>1869000</v>
      </c>
      <c r="D61" s="105">
        <f t="shared" si="30"/>
        <v>10000</v>
      </c>
      <c r="E61" s="52">
        <f t="shared" si="30"/>
        <v>4000</v>
      </c>
      <c r="F61" s="9">
        <f t="shared" si="30"/>
        <v>5000</v>
      </c>
      <c r="G61" s="45">
        <f t="shared" si="30"/>
        <v>145000</v>
      </c>
      <c r="H61" s="45">
        <f t="shared" si="30"/>
        <v>4945000</v>
      </c>
      <c r="I61" s="45">
        <f t="shared" si="30"/>
        <v>5091000</v>
      </c>
      <c r="J61" s="158">
        <f t="shared" si="30"/>
        <v>938000</v>
      </c>
    </row>
    <row r="62" spans="1:10" x14ac:dyDescent="0.2">
      <c r="A62" s="257">
        <f t="shared" si="5"/>
        <v>23</v>
      </c>
      <c r="B62" s="70">
        <f t="shared" si="6"/>
        <v>2042</v>
      </c>
      <c r="C62" s="49">
        <f t="shared" ref="C62:J62" si="31">ROUND(C26,-3)</f>
        <v>1869000</v>
      </c>
      <c r="D62" s="105">
        <f t="shared" si="31"/>
        <v>10000</v>
      </c>
      <c r="E62" s="52">
        <f t="shared" si="31"/>
        <v>4000</v>
      </c>
      <c r="F62" s="9">
        <f t="shared" si="31"/>
        <v>5000</v>
      </c>
      <c r="G62" s="45">
        <f t="shared" si="31"/>
        <v>145000</v>
      </c>
      <c r="H62" s="45">
        <f t="shared" si="31"/>
        <v>4945000</v>
      </c>
      <c r="I62" s="45">
        <f t="shared" si="31"/>
        <v>5091000</v>
      </c>
      <c r="J62" s="158">
        <f t="shared" si="31"/>
        <v>877000</v>
      </c>
    </row>
    <row r="63" spans="1:10" x14ac:dyDescent="0.2">
      <c r="A63" s="257">
        <f t="shared" si="5"/>
        <v>24</v>
      </c>
      <c r="B63" s="70">
        <f t="shared" si="6"/>
        <v>2043</v>
      </c>
      <c r="C63" s="49">
        <f t="shared" ref="C63:J63" si="32">ROUND(C27,-3)</f>
        <v>1869000</v>
      </c>
      <c r="D63" s="105">
        <f t="shared" si="32"/>
        <v>10000</v>
      </c>
      <c r="E63" s="52">
        <f t="shared" si="32"/>
        <v>4000</v>
      </c>
      <c r="F63" s="9">
        <f t="shared" si="32"/>
        <v>5000</v>
      </c>
      <c r="G63" s="45">
        <f t="shared" si="32"/>
        <v>145000</v>
      </c>
      <c r="H63" s="45">
        <f t="shared" si="32"/>
        <v>4945000</v>
      </c>
      <c r="I63" s="45">
        <f t="shared" si="32"/>
        <v>5091000</v>
      </c>
      <c r="J63" s="158">
        <f t="shared" si="32"/>
        <v>819000</v>
      </c>
    </row>
    <row r="64" spans="1:10" x14ac:dyDescent="0.2">
      <c r="A64" s="257">
        <f t="shared" si="5"/>
        <v>25</v>
      </c>
      <c r="B64" s="70">
        <f t="shared" si="6"/>
        <v>2044</v>
      </c>
      <c r="C64" s="49">
        <f t="shared" ref="C64:J64" si="33">ROUND(C28,-3)</f>
        <v>1869000</v>
      </c>
      <c r="D64" s="105">
        <f t="shared" si="33"/>
        <v>10000</v>
      </c>
      <c r="E64" s="52">
        <f t="shared" si="33"/>
        <v>4000</v>
      </c>
      <c r="F64" s="9">
        <f t="shared" si="33"/>
        <v>5000</v>
      </c>
      <c r="G64" s="45">
        <f t="shared" si="33"/>
        <v>145000</v>
      </c>
      <c r="H64" s="45">
        <f t="shared" si="33"/>
        <v>4945000</v>
      </c>
      <c r="I64" s="45">
        <f t="shared" si="33"/>
        <v>5091000</v>
      </c>
      <c r="J64" s="158">
        <f t="shared" si="33"/>
        <v>766000</v>
      </c>
    </row>
    <row r="65" spans="1:10" x14ac:dyDescent="0.2">
      <c r="A65" s="257">
        <f t="shared" si="5"/>
        <v>26</v>
      </c>
      <c r="B65" s="70">
        <f t="shared" si="6"/>
        <v>2045</v>
      </c>
      <c r="C65" s="49">
        <f t="shared" ref="C65:J65" si="34">ROUND(C29,-3)</f>
        <v>1869000</v>
      </c>
      <c r="D65" s="105">
        <f t="shared" si="34"/>
        <v>10000</v>
      </c>
      <c r="E65" s="52">
        <f t="shared" si="34"/>
        <v>4000</v>
      </c>
      <c r="F65" s="9">
        <f t="shared" si="34"/>
        <v>5000</v>
      </c>
      <c r="G65" s="45">
        <f t="shared" si="34"/>
        <v>145000</v>
      </c>
      <c r="H65" s="45">
        <f t="shared" si="34"/>
        <v>4945000</v>
      </c>
      <c r="I65" s="45">
        <f t="shared" si="34"/>
        <v>5091000</v>
      </c>
      <c r="J65" s="158">
        <f t="shared" si="34"/>
        <v>716000</v>
      </c>
    </row>
    <row r="66" spans="1:10" x14ac:dyDescent="0.2">
      <c r="A66" s="257">
        <f t="shared" si="5"/>
        <v>27</v>
      </c>
      <c r="B66" s="70">
        <f t="shared" si="6"/>
        <v>2046</v>
      </c>
      <c r="C66" s="49">
        <f t="shared" ref="C66:J66" si="35">ROUND(C30,-3)</f>
        <v>1869000</v>
      </c>
      <c r="D66" s="105">
        <f t="shared" si="35"/>
        <v>10000</v>
      </c>
      <c r="E66" s="52">
        <f t="shared" si="35"/>
        <v>4000</v>
      </c>
      <c r="F66" s="9">
        <f t="shared" si="35"/>
        <v>5000</v>
      </c>
      <c r="G66" s="45">
        <f t="shared" si="35"/>
        <v>145000</v>
      </c>
      <c r="H66" s="45">
        <f t="shared" si="35"/>
        <v>4945000</v>
      </c>
      <c r="I66" s="45">
        <f t="shared" si="35"/>
        <v>5091000</v>
      </c>
      <c r="J66" s="158">
        <f t="shared" si="35"/>
        <v>669000</v>
      </c>
    </row>
    <row r="67" spans="1:10" x14ac:dyDescent="0.2">
      <c r="A67" s="257">
        <f t="shared" si="5"/>
        <v>28</v>
      </c>
      <c r="B67" s="70">
        <f t="shared" si="6"/>
        <v>2047</v>
      </c>
      <c r="C67" s="49">
        <f t="shared" ref="C67:J67" si="36">ROUND(C31,-3)</f>
        <v>1869000</v>
      </c>
      <c r="D67" s="105">
        <f t="shared" si="36"/>
        <v>10000</v>
      </c>
      <c r="E67" s="52">
        <f t="shared" si="36"/>
        <v>4000</v>
      </c>
      <c r="F67" s="9">
        <f t="shared" si="36"/>
        <v>5000</v>
      </c>
      <c r="G67" s="45">
        <f t="shared" si="36"/>
        <v>145000</v>
      </c>
      <c r="H67" s="45">
        <f t="shared" si="36"/>
        <v>4945000</v>
      </c>
      <c r="I67" s="45">
        <f t="shared" si="36"/>
        <v>5091000</v>
      </c>
      <c r="J67" s="158">
        <f t="shared" si="36"/>
        <v>625000</v>
      </c>
    </row>
    <row r="68" spans="1:10" x14ac:dyDescent="0.2">
      <c r="A68" s="257">
        <f t="shared" si="5"/>
        <v>29</v>
      </c>
      <c r="B68" s="70">
        <f t="shared" si="6"/>
        <v>2048</v>
      </c>
      <c r="C68" s="49">
        <f t="shared" ref="C68:J68" si="37">ROUND(C32,-3)</f>
        <v>1869000</v>
      </c>
      <c r="D68" s="105">
        <f t="shared" si="37"/>
        <v>10000</v>
      </c>
      <c r="E68" s="52">
        <f t="shared" si="37"/>
        <v>4000</v>
      </c>
      <c r="F68" s="9">
        <f t="shared" si="37"/>
        <v>5000</v>
      </c>
      <c r="G68" s="45">
        <f t="shared" si="37"/>
        <v>145000</v>
      </c>
      <c r="H68" s="45">
        <f t="shared" si="37"/>
        <v>4945000</v>
      </c>
      <c r="I68" s="45">
        <f t="shared" si="37"/>
        <v>5091000</v>
      </c>
      <c r="J68" s="158">
        <f t="shared" si="37"/>
        <v>584000</v>
      </c>
    </row>
    <row r="69" spans="1:10" x14ac:dyDescent="0.2">
      <c r="A69" s="257">
        <f t="shared" si="5"/>
        <v>30</v>
      </c>
      <c r="B69" s="70">
        <f t="shared" si="6"/>
        <v>2049</v>
      </c>
      <c r="C69" s="49">
        <f t="shared" ref="C69:J69" si="38">ROUND(C33,-3)</f>
        <v>1869000</v>
      </c>
      <c r="D69" s="105">
        <f t="shared" si="38"/>
        <v>10000</v>
      </c>
      <c r="E69" s="52">
        <f t="shared" si="38"/>
        <v>4000</v>
      </c>
      <c r="F69" s="9">
        <f t="shared" si="38"/>
        <v>5000</v>
      </c>
      <c r="G69" s="45">
        <f t="shared" si="38"/>
        <v>145000</v>
      </c>
      <c r="H69" s="45">
        <f t="shared" si="38"/>
        <v>4945000</v>
      </c>
      <c r="I69" s="45">
        <f t="shared" si="38"/>
        <v>5091000</v>
      </c>
      <c r="J69" s="158">
        <f t="shared" si="38"/>
        <v>546000</v>
      </c>
    </row>
    <row r="70" spans="1:10" ht="13.5" customHeight="1" thickBot="1" x14ac:dyDescent="0.25">
      <c r="A70" s="598" t="s">
        <v>0</v>
      </c>
      <c r="B70" s="599"/>
      <c r="C70" s="213">
        <f t="shared" ref="C70:J70" si="39">ROUND(C34,-3)</f>
        <v>58961000</v>
      </c>
      <c r="D70" s="106">
        <f t="shared" si="39"/>
        <v>302000</v>
      </c>
      <c r="E70" s="108">
        <f t="shared" si="39"/>
        <v>139000</v>
      </c>
      <c r="F70" s="107">
        <f t="shared" si="39"/>
        <v>164000</v>
      </c>
      <c r="G70" s="308">
        <f t="shared" si="39"/>
        <v>4349000</v>
      </c>
      <c r="H70" s="308">
        <f t="shared" si="39"/>
        <v>147960000</v>
      </c>
      <c r="I70" s="308">
        <f t="shared" si="39"/>
        <v>152309000</v>
      </c>
      <c r="J70" s="309">
        <f t="shared" si="39"/>
        <v>51253000</v>
      </c>
    </row>
  </sheetData>
  <mergeCells count="1">
    <mergeCell ref="A70:B70"/>
  </mergeCells>
  <pageMargins left="0.5" right="0.5" top="1" bottom="1" header="0.5" footer="0.5"/>
  <pageSetup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pane xSplit="2" topLeftCell="C1" activePane="topRight" state="frozen"/>
      <selection pane="topRight"/>
    </sheetView>
  </sheetViews>
  <sheetFormatPr defaultRowHeight="12" x14ac:dyDescent="0.2"/>
  <cols>
    <col min="1" max="2" width="8.7109375" style="236" customWidth="1"/>
    <col min="3" max="6" width="15.7109375" style="236" customWidth="1"/>
    <col min="7" max="7" width="9.140625" style="239"/>
    <col min="8" max="16384" width="9.140625" style="236"/>
  </cols>
  <sheetData>
    <row r="1" spans="1:7" s="245" customFormat="1" ht="36" x14ac:dyDescent="0.2">
      <c r="A1" s="240" t="s">
        <v>130</v>
      </c>
      <c r="B1" s="101" t="s">
        <v>2</v>
      </c>
      <c r="C1" s="101" t="str">
        <f>'T7 Fuel Savings'!E1</f>
        <v>Fuel Savings (Gallons)</v>
      </c>
      <c r="D1" s="101" t="s">
        <v>105</v>
      </c>
      <c r="E1" s="101" t="s">
        <v>372</v>
      </c>
      <c r="F1" s="156" t="s">
        <v>373</v>
      </c>
      <c r="G1" s="244"/>
    </row>
    <row r="2" spans="1:7" x14ac:dyDescent="0.2">
      <c r="A2" s="257">
        <v>-1</v>
      </c>
      <c r="B2" s="71">
        <v>2018</v>
      </c>
      <c r="C2" s="7">
        <f>'T7 Fuel Savings'!E2</f>
        <v>0</v>
      </c>
      <c r="D2" s="50">
        <f>+'T3 Inputs'!B$15</f>
        <v>2.7759999999999998</v>
      </c>
      <c r="E2" s="7">
        <f>C2*D2</f>
        <v>0</v>
      </c>
      <c r="F2" s="170">
        <f>E2/((1+'T3 Inputs'!$B$4)^(B2-B$2))</f>
        <v>0</v>
      </c>
    </row>
    <row r="3" spans="1:7" x14ac:dyDescent="0.2">
      <c r="A3" s="257">
        <f>A2+1</f>
        <v>0</v>
      </c>
      <c r="B3" s="70">
        <f>B2+1</f>
        <v>2019</v>
      </c>
      <c r="C3" s="7">
        <f>'T7 Fuel Savings'!E3</f>
        <v>0</v>
      </c>
      <c r="D3" s="50">
        <f>+'T3 Inputs'!B$15</f>
        <v>2.7759999999999998</v>
      </c>
      <c r="E3" s="7">
        <f t="shared" ref="E3:E23" si="0">C3*D3</f>
        <v>0</v>
      </c>
      <c r="F3" s="170">
        <f>E3/((1+'T3 Inputs'!$B$4)^(B3-B$2))</f>
        <v>0</v>
      </c>
    </row>
    <row r="4" spans="1:7" x14ac:dyDescent="0.2">
      <c r="A4" s="257">
        <f t="shared" ref="A4:A33" si="1">A3+1</f>
        <v>1</v>
      </c>
      <c r="B4" s="70">
        <f t="shared" ref="B4:B33" si="2">B3+1</f>
        <v>2020</v>
      </c>
      <c r="C4" s="7">
        <f>'T7 Fuel Savings'!E4</f>
        <v>27521.794827187383</v>
      </c>
      <c r="D4" s="50">
        <f>+'T3 Inputs'!B$15</f>
        <v>2.7759999999999998</v>
      </c>
      <c r="E4" s="7">
        <f t="shared" si="0"/>
        <v>76400.502440272176</v>
      </c>
      <c r="F4" s="170">
        <f>E4/((1+'T3 Inputs'!$B$4)^(B4-B$2))</f>
        <v>66731.15769086573</v>
      </c>
    </row>
    <row r="5" spans="1:7" x14ac:dyDescent="0.2">
      <c r="A5" s="257">
        <f t="shared" si="1"/>
        <v>2</v>
      </c>
      <c r="B5" s="70">
        <f t="shared" si="2"/>
        <v>2021</v>
      </c>
      <c r="C5" s="8">
        <f>'T7 Fuel Savings'!E5</f>
        <v>29925.059225644098</v>
      </c>
      <c r="D5" s="50">
        <f>+'T3 Inputs'!B$15</f>
        <v>2.7759999999999998</v>
      </c>
      <c r="E5" s="44">
        <f t="shared" si="0"/>
        <v>83071.964410388013</v>
      </c>
      <c r="F5" s="158">
        <f>E5/((1+'T3 Inputs'!$B$4)^(B5-B$2))</f>
        <v>67811.468177352144</v>
      </c>
    </row>
    <row r="6" spans="1:7" x14ac:dyDescent="0.2">
      <c r="A6" s="257">
        <f t="shared" si="1"/>
        <v>3</v>
      </c>
      <c r="B6" s="70">
        <f t="shared" si="2"/>
        <v>2022</v>
      </c>
      <c r="C6" s="8">
        <f>'T7 Fuel Savings'!E6</f>
        <v>29925.059225644098</v>
      </c>
      <c r="D6" s="50">
        <f>+'T3 Inputs'!B$15</f>
        <v>2.7759999999999998</v>
      </c>
      <c r="E6" s="44">
        <f t="shared" si="0"/>
        <v>83071.964410388013</v>
      </c>
      <c r="F6" s="158">
        <f>E6/((1+'T3 Inputs'!$B$4)^(B6-B$2))</f>
        <v>63375.203904067428</v>
      </c>
    </row>
    <row r="7" spans="1:7" x14ac:dyDescent="0.2">
      <c r="A7" s="257">
        <f t="shared" si="1"/>
        <v>4</v>
      </c>
      <c r="B7" s="70">
        <f t="shared" si="2"/>
        <v>2023</v>
      </c>
      <c r="C7" s="8">
        <f>'T7 Fuel Savings'!E7</f>
        <v>29925.059225644098</v>
      </c>
      <c r="D7" s="50">
        <f>+'T3 Inputs'!B$15</f>
        <v>2.7759999999999998</v>
      </c>
      <c r="E7" s="44">
        <f t="shared" si="0"/>
        <v>83071.964410388013</v>
      </c>
      <c r="F7" s="158">
        <f>E7/((1+'T3 Inputs'!$B$4)^(B7-B$2))</f>
        <v>59229.162527165819</v>
      </c>
    </row>
    <row r="8" spans="1:7" x14ac:dyDescent="0.2">
      <c r="A8" s="257">
        <f t="shared" si="1"/>
        <v>5</v>
      </c>
      <c r="B8" s="70">
        <f t="shared" si="2"/>
        <v>2024</v>
      </c>
      <c r="C8" s="8">
        <f>'T7 Fuel Savings'!E8</f>
        <v>29925.059225644098</v>
      </c>
      <c r="D8" s="50">
        <f>+'T3 Inputs'!B$15</f>
        <v>2.7759999999999998</v>
      </c>
      <c r="E8" s="44">
        <f t="shared" si="0"/>
        <v>83071.964410388013</v>
      </c>
      <c r="F8" s="158">
        <f>E8/((1+'T3 Inputs'!$B$4)^(B8-B$2))</f>
        <v>55354.357502024133</v>
      </c>
    </row>
    <row r="9" spans="1:7" x14ac:dyDescent="0.2">
      <c r="A9" s="257">
        <f t="shared" si="1"/>
        <v>6</v>
      </c>
      <c r="B9" s="70">
        <f t="shared" si="2"/>
        <v>2025</v>
      </c>
      <c r="C9" s="8">
        <f>'T7 Fuel Savings'!E9</f>
        <v>29925.059225644098</v>
      </c>
      <c r="D9" s="50">
        <f>+'T3 Inputs'!B$15</f>
        <v>2.7759999999999998</v>
      </c>
      <c r="E9" s="44">
        <f t="shared" si="0"/>
        <v>83071.964410388013</v>
      </c>
      <c r="F9" s="158">
        <f>E9/((1+'T3 Inputs'!$B$4)^(B9-B$2))</f>
        <v>51733.044394415076</v>
      </c>
    </row>
    <row r="10" spans="1:7" x14ac:dyDescent="0.2">
      <c r="A10" s="257">
        <f t="shared" si="1"/>
        <v>7</v>
      </c>
      <c r="B10" s="70">
        <f t="shared" si="2"/>
        <v>2026</v>
      </c>
      <c r="C10" s="8">
        <f>'T7 Fuel Savings'!E10</f>
        <v>29925.059225644098</v>
      </c>
      <c r="D10" s="50">
        <f>+'T3 Inputs'!B$15</f>
        <v>2.7759999999999998</v>
      </c>
      <c r="E10" s="44">
        <f t="shared" si="0"/>
        <v>83071.964410388013</v>
      </c>
      <c r="F10" s="158">
        <f>E10/((1+'T3 Inputs'!$B$4)^(B10-B$2))</f>
        <v>48348.63962094867</v>
      </c>
    </row>
    <row r="11" spans="1:7" x14ac:dyDescent="0.2">
      <c r="A11" s="257">
        <f t="shared" si="1"/>
        <v>8</v>
      </c>
      <c r="B11" s="70">
        <f t="shared" si="2"/>
        <v>2027</v>
      </c>
      <c r="C11" s="8">
        <f>'T7 Fuel Savings'!E11</f>
        <v>29925.059225644098</v>
      </c>
      <c r="D11" s="50">
        <f>+'T3 Inputs'!B$15</f>
        <v>2.7759999999999998</v>
      </c>
      <c r="E11" s="44">
        <f t="shared" si="0"/>
        <v>83071.964410388013</v>
      </c>
      <c r="F11" s="158">
        <f>E11/((1+'T3 Inputs'!$B$4)^(B11-B$2))</f>
        <v>45185.644505559496</v>
      </c>
    </row>
    <row r="12" spans="1:7" x14ac:dyDescent="0.2">
      <c r="A12" s="257">
        <f t="shared" si="1"/>
        <v>9</v>
      </c>
      <c r="B12" s="70">
        <f t="shared" si="2"/>
        <v>2028</v>
      </c>
      <c r="C12" s="8">
        <f>'T7 Fuel Savings'!E12</f>
        <v>29925.059225644098</v>
      </c>
      <c r="D12" s="50">
        <f>+'T3 Inputs'!B$15</f>
        <v>2.7759999999999998</v>
      </c>
      <c r="E12" s="44">
        <f t="shared" si="0"/>
        <v>83071.964410388013</v>
      </c>
      <c r="F12" s="158">
        <f>E12/((1+'T3 Inputs'!$B$4)^(B12-B$2))</f>
        <v>42229.574304261216</v>
      </c>
    </row>
    <row r="13" spans="1:7" x14ac:dyDescent="0.2">
      <c r="A13" s="257">
        <f t="shared" si="1"/>
        <v>10</v>
      </c>
      <c r="B13" s="70">
        <f t="shared" si="2"/>
        <v>2029</v>
      </c>
      <c r="C13" s="8">
        <f>'T7 Fuel Savings'!E13</f>
        <v>29925.059225644098</v>
      </c>
      <c r="D13" s="50">
        <f>+'T3 Inputs'!B$15</f>
        <v>2.7759999999999998</v>
      </c>
      <c r="E13" s="44">
        <f t="shared" si="0"/>
        <v>83071.964410388013</v>
      </c>
      <c r="F13" s="158">
        <f>E13/((1+'T3 Inputs'!$B$4)^(B13-B$2))</f>
        <v>39466.891873141314</v>
      </c>
    </row>
    <row r="14" spans="1:7" x14ac:dyDescent="0.2">
      <c r="A14" s="257">
        <f t="shared" si="1"/>
        <v>11</v>
      </c>
      <c r="B14" s="70">
        <f t="shared" si="2"/>
        <v>2030</v>
      </c>
      <c r="C14" s="8">
        <f>'T7 Fuel Savings'!E14</f>
        <v>29925.059225644098</v>
      </c>
      <c r="D14" s="50">
        <f>+'T3 Inputs'!B$15</f>
        <v>2.7759999999999998</v>
      </c>
      <c r="E14" s="44">
        <f t="shared" si="0"/>
        <v>83071.964410388013</v>
      </c>
      <c r="F14" s="158">
        <f>E14/((1+'T3 Inputs'!$B$4)^(B14-B$2))</f>
        <v>36884.945675833013</v>
      </c>
    </row>
    <row r="15" spans="1:7" x14ac:dyDescent="0.2">
      <c r="A15" s="257">
        <f t="shared" si="1"/>
        <v>12</v>
      </c>
      <c r="B15" s="70">
        <f t="shared" si="2"/>
        <v>2031</v>
      </c>
      <c r="C15" s="8">
        <f>'T7 Fuel Savings'!E15</f>
        <v>29925.059225644098</v>
      </c>
      <c r="D15" s="50">
        <f>+'T3 Inputs'!B$15</f>
        <v>2.7759999999999998</v>
      </c>
      <c r="E15" s="44">
        <f t="shared" si="0"/>
        <v>83071.964410388013</v>
      </c>
      <c r="F15" s="158">
        <f>E15/((1+'T3 Inputs'!$B$4)^(B15-B$2))</f>
        <v>34471.911846572904</v>
      </c>
    </row>
    <row r="16" spans="1:7" x14ac:dyDescent="0.2">
      <c r="A16" s="257">
        <f t="shared" si="1"/>
        <v>13</v>
      </c>
      <c r="B16" s="70">
        <f t="shared" si="2"/>
        <v>2032</v>
      </c>
      <c r="C16" s="8">
        <f>'T7 Fuel Savings'!E16</f>
        <v>29925.059225644098</v>
      </c>
      <c r="D16" s="50">
        <f>+'T3 Inputs'!B$15</f>
        <v>2.7759999999999998</v>
      </c>
      <c r="E16" s="44">
        <f t="shared" si="0"/>
        <v>83071.964410388013</v>
      </c>
      <c r="F16" s="158">
        <f>E16/((1+'T3 Inputs'!$B$4)^(B16-B$2))</f>
        <v>32216.740043526082</v>
      </c>
    </row>
    <row r="17" spans="1:7" x14ac:dyDescent="0.2">
      <c r="A17" s="257">
        <f t="shared" si="1"/>
        <v>14</v>
      </c>
      <c r="B17" s="70">
        <f t="shared" si="2"/>
        <v>2033</v>
      </c>
      <c r="C17" s="8">
        <f>'T7 Fuel Savings'!E17</f>
        <v>29925.059225644098</v>
      </c>
      <c r="D17" s="50">
        <f>+'T3 Inputs'!B$15</f>
        <v>2.7759999999999998</v>
      </c>
      <c r="E17" s="44">
        <f t="shared" si="0"/>
        <v>83071.964410388013</v>
      </c>
      <c r="F17" s="158">
        <f>E17/((1+'T3 Inputs'!$B$4)^(B17-B$2))</f>
        <v>30109.102844416899</v>
      </c>
    </row>
    <row r="18" spans="1:7" x14ac:dyDescent="0.2">
      <c r="A18" s="257">
        <f t="shared" si="1"/>
        <v>15</v>
      </c>
      <c r="B18" s="70">
        <f t="shared" si="2"/>
        <v>2034</v>
      </c>
      <c r="C18" s="8">
        <f>'T7 Fuel Savings'!E18</f>
        <v>29925.059225644098</v>
      </c>
      <c r="D18" s="50">
        <f>+'T3 Inputs'!B$15</f>
        <v>2.7759999999999998</v>
      </c>
      <c r="E18" s="44">
        <f t="shared" si="0"/>
        <v>83071.964410388013</v>
      </c>
      <c r="F18" s="158">
        <f>E18/((1+'T3 Inputs'!$B$4)^(B18-B$2))</f>
        <v>28139.348452726077</v>
      </c>
    </row>
    <row r="19" spans="1:7" x14ac:dyDescent="0.2">
      <c r="A19" s="257">
        <f t="shared" si="1"/>
        <v>16</v>
      </c>
      <c r="B19" s="70">
        <f t="shared" si="2"/>
        <v>2035</v>
      </c>
      <c r="C19" s="8">
        <f>'T7 Fuel Savings'!E19</f>
        <v>29925.059225644098</v>
      </c>
      <c r="D19" s="50">
        <f>+'T3 Inputs'!B$15</f>
        <v>2.7759999999999998</v>
      </c>
      <c r="E19" s="44">
        <f t="shared" si="0"/>
        <v>83071.964410388013</v>
      </c>
      <c r="F19" s="158">
        <f>E19/((1+'T3 Inputs'!$B$4)^(B19-B$2))</f>
        <v>26298.456497874839</v>
      </c>
    </row>
    <row r="20" spans="1:7" x14ac:dyDescent="0.2">
      <c r="A20" s="257">
        <f t="shared" si="1"/>
        <v>17</v>
      </c>
      <c r="B20" s="70">
        <f t="shared" si="2"/>
        <v>2036</v>
      </c>
      <c r="C20" s="8">
        <f>'T7 Fuel Savings'!E20</f>
        <v>29925.059225644098</v>
      </c>
      <c r="D20" s="50">
        <f>+'T3 Inputs'!B$15</f>
        <v>2.7759999999999998</v>
      </c>
      <c r="E20" s="44">
        <f t="shared" si="0"/>
        <v>83071.964410388013</v>
      </c>
      <c r="F20" s="158">
        <f>E20/((1+'T3 Inputs'!$B$4)^(B20-B$2))</f>
        <v>24577.996726985828</v>
      </c>
    </row>
    <row r="21" spans="1:7" x14ac:dyDescent="0.2">
      <c r="A21" s="257">
        <f t="shared" si="1"/>
        <v>18</v>
      </c>
      <c r="B21" s="70">
        <f t="shared" si="2"/>
        <v>2037</v>
      </c>
      <c r="C21" s="8">
        <f>'T7 Fuel Savings'!E21</f>
        <v>29925.059225644098</v>
      </c>
      <c r="D21" s="50">
        <f>+'T3 Inputs'!B$15</f>
        <v>2.7759999999999998</v>
      </c>
      <c r="E21" s="44">
        <f t="shared" si="0"/>
        <v>83071.964410388013</v>
      </c>
      <c r="F21" s="158">
        <f>E21/((1+'T3 Inputs'!$B$4)^(B21-B$2))</f>
        <v>22970.090399052177</v>
      </c>
    </row>
    <row r="22" spans="1:7" x14ac:dyDescent="0.2">
      <c r="A22" s="257">
        <f t="shared" si="1"/>
        <v>19</v>
      </c>
      <c r="B22" s="70">
        <f t="shared" si="2"/>
        <v>2038</v>
      </c>
      <c r="C22" s="8">
        <f>'T7 Fuel Savings'!E22</f>
        <v>29925.059225644098</v>
      </c>
      <c r="D22" s="50">
        <f>+'T3 Inputs'!B$15</f>
        <v>2.7759999999999998</v>
      </c>
      <c r="E22" s="44">
        <f t="shared" si="0"/>
        <v>83071.964410388013</v>
      </c>
      <c r="F22" s="158">
        <f>E22/((1+'T3 Inputs'!$B$4)^(B22-B$2))</f>
        <v>21467.374204721662</v>
      </c>
    </row>
    <row r="23" spans="1:7" x14ac:dyDescent="0.2">
      <c r="A23" s="257">
        <f t="shared" si="1"/>
        <v>20</v>
      </c>
      <c r="B23" s="70">
        <f t="shared" si="2"/>
        <v>2039</v>
      </c>
      <c r="C23" s="8">
        <f>'T7 Fuel Savings'!E23</f>
        <v>29925.059225644098</v>
      </c>
      <c r="D23" s="50">
        <f>+'T3 Inputs'!B$15</f>
        <v>2.7759999999999998</v>
      </c>
      <c r="E23" s="44">
        <f t="shared" si="0"/>
        <v>83071.964410388013</v>
      </c>
      <c r="F23" s="158">
        <f>E23/((1+'T3 Inputs'!$B$4)^(B23-B$2))</f>
        <v>20062.966546468841</v>
      </c>
      <c r="G23" s="236"/>
    </row>
    <row r="24" spans="1:7" x14ac:dyDescent="0.2">
      <c r="A24" s="257">
        <f t="shared" si="1"/>
        <v>21</v>
      </c>
      <c r="B24" s="70">
        <f t="shared" si="2"/>
        <v>2040</v>
      </c>
      <c r="C24" s="8">
        <f>'T7 Fuel Savings'!E24</f>
        <v>29925.059225644098</v>
      </c>
      <c r="D24" s="50">
        <f>+'T3 Inputs'!B$15</f>
        <v>2.7759999999999998</v>
      </c>
      <c r="E24" s="44">
        <f t="shared" ref="E24:E33" si="3">C24*D24</f>
        <v>83071.964410388013</v>
      </c>
      <c r="F24" s="158">
        <f>E24/((1+'T3 Inputs'!$B$4)^(B24-B$2))</f>
        <v>18750.436024737235</v>
      </c>
      <c r="G24" s="236"/>
    </row>
    <row r="25" spans="1:7" x14ac:dyDescent="0.2">
      <c r="A25" s="257">
        <f t="shared" si="1"/>
        <v>22</v>
      </c>
      <c r="B25" s="70">
        <f t="shared" si="2"/>
        <v>2041</v>
      </c>
      <c r="C25" s="8">
        <f>'T7 Fuel Savings'!E25</f>
        <v>29925.059225644098</v>
      </c>
      <c r="D25" s="50">
        <f>+'T3 Inputs'!B$15</f>
        <v>2.7759999999999998</v>
      </c>
      <c r="E25" s="44">
        <f t="shared" si="3"/>
        <v>83071.964410388013</v>
      </c>
      <c r="F25" s="158">
        <f>E25/((1+'T3 Inputs'!$B$4)^(B25-B$2))</f>
        <v>17523.771985735733</v>
      </c>
      <c r="G25" s="236"/>
    </row>
    <row r="26" spans="1:7" x14ac:dyDescent="0.2">
      <c r="A26" s="257">
        <f t="shared" si="1"/>
        <v>23</v>
      </c>
      <c r="B26" s="70">
        <f t="shared" si="2"/>
        <v>2042</v>
      </c>
      <c r="C26" s="8">
        <f>'T7 Fuel Savings'!E26</f>
        <v>29925.059225644098</v>
      </c>
      <c r="D26" s="50">
        <f>+'T3 Inputs'!B$15</f>
        <v>2.7759999999999998</v>
      </c>
      <c r="E26" s="44">
        <f t="shared" si="3"/>
        <v>83071.964410388013</v>
      </c>
      <c r="F26" s="158">
        <f>E26/((1+'T3 Inputs'!$B$4)^(B26-B$2))</f>
        <v>16377.356996014703</v>
      </c>
      <c r="G26" s="236"/>
    </row>
    <row r="27" spans="1:7" x14ac:dyDescent="0.2">
      <c r="A27" s="257">
        <f t="shared" si="1"/>
        <v>24</v>
      </c>
      <c r="B27" s="70">
        <f t="shared" si="2"/>
        <v>2043</v>
      </c>
      <c r="C27" s="8">
        <f>'T7 Fuel Savings'!E27</f>
        <v>29925.059225644098</v>
      </c>
      <c r="D27" s="50">
        <f>+'T3 Inputs'!B$15</f>
        <v>2.7759999999999998</v>
      </c>
      <c r="E27" s="44">
        <f t="shared" si="3"/>
        <v>83071.964410388013</v>
      </c>
      <c r="F27" s="158">
        <f>E27/((1+'T3 Inputs'!$B$4)^(B27-B$2))</f>
        <v>15305.94111777075</v>
      </c>
      <c r="G27" s="236"/>
    </row>
    <row r="28" spans="1:7" x14ac:dyDescent="0.2">
      <c r="A28" s="257">
        <f t="shared" si="1"/>
        <v>25</v>
      </c>
      <c r="B28" s="70">
        <f t="shared" si="2"/>
        <v>2044</v>
      </c>
      <c r="C28" s="8">
        <f>'T7 Fuel Savings'!E28</f>
        <v>29925.059225644098</v>
      </c>
      <c r="D28" s="50">
        <f>+'T3 Inputs'!B$15</f>
        <v>2.7759999999999998</v>
      </c>
      <c r="E28" s="44">
        <f t="shared" si="3"/>
        <v>83071.964410388013</v>
      </c>
      <c r="F28" s="158">
        <f>E28/((1+'T3 Inputs'!$B$4)^(B28-B$2))</f>
        <v>14304.617867075467</v>
      </c>
      <c r="G28" s="236"/>
    </row>
    <row r="29" spans="1:7" x14ac:dyDescent="0.2">
      <c r="A29" s="257">
        <f t="shared" si="1"/>
        <v>26</v>
      </c>
      <c r="B29" s="70">
        <f t="shared" si="2"/>
        <v>2045</v>
      </c>
      <c r="C29" s="8">
        <f>'T7 Fuel Savings'!E29</f>
        <v>29925.059225644098</v>
      </c>
      <c r="D29" s="50">
        <f>+'T3 Inputs'!B$15</f>
        <v>2.7759999999999998</v>
      </c>
      <c r="E29" s="44">
        <f t="shared" si="3"/>
        <v>83071.964410388013</v>
      </c>
      <c r="F29" s="158">
        <f>E29/((1+'T3 Inputs'!$B$4)^(B29-B$2))</f>
        <v>13368.801744930341</v>
      </c>
      <c r="G29" s="236"/>
    </row>
    <row r="30" spans="1:7" x14ac:dyDescent="0.2">
      <c r="A30" s="257">
        <f t="shared" si="1"/>
        <v>27</v>
      </c>
      <c r="B30" s="70">
        <f t="shared" si="2"/>
        <v>2046</v>
      </c>
      <c r="C30" s="8">
        <f>'T7 Fuel Savings'!E30</f>
        <v>29925.059225644098</v>
      </c>
      <c r="D30" s="50">
        <f>+'T3 Inputs'!B$15</f>
        <v>2.7759999999999998</v>
      </c>
      <c r="E30" s="44">
        <f t="shared" si="3"/>
        <v>83071.964410388013</v>
      </c>
      <c r="F30" s="158">
        <f>E30/((1+'T3 Inputs'!$B$4)^(B30-B$2))</f>
        <v>12494.207238252657</v>
      </c>
      <c r="G30" s="236"/>
    </row>
    <row r="31" spans="1:7" x14ac:dyDescent="0.2">
      <c r="A31" s="257">
        <f t="shared" si="1"/>
        <v>28</v>
      </c>
      <c r="B31" s="70">
        <f t="shared" si="2"/>
        <v>2047</v>
      </c>
      <c r="C31" s="8">
        <f>'T7 Fuel Savings'!E31</f>
        <v>29925.059225644098</v>
      </c>
      <c r="D31" s="50">
        <f>+'T3 Inputs'!B$15</f>
        <v>2.7759999999999998</v>
      </c>
      <c r="E31" s="44">
        <f t="shared" si="3"/>
        <v>83071.964410388013</v>
      </c>
      <c r="F31" s="158">
        <f>E31/((1+'T3 Inputs'!$B$4)^(B31-B$2))</f>
        <v>11676.829194628652</v>
      </c>
      <c r="G31" s="236"/>
    </row>
    <row r="32" spans="1:7" x14ac:dyDescent="0.2">
      <c r="A32" s="257">
        <f t="shared" si="1"/>
        <v>29</v>
      </c>
      <c r="B32" s="70">
        <f t="shared" si="2"/>
        <v>2048</v>
      </c>
      <c r="C32" s="8">
        <f>'T7 Fuel Savings'!E32</f>
        <v>29925.059225644098</v>
      </c>
      <c r="D32" s="50">
        <f>+'T3 Inputs'!B$15</f>
        <v>2.7759999999999998</v>
      </c>
      <c r="E32" s="44">
        <f t="shared" si="3"/>
        <v>83071.964410388013</v>
      </c>
      <c r="F32" s="158">
        <f>E32/((1+'T3 Inputs'!$B$4)^(B32-B$2))</f>
        <v>10912.924480961357</v>
      </c>
      <c r="G32" s="236"/>
    </row>
    <row r="33" spans="1:7" x14ac:dyDescent="0.2">
      <c r="A33" s="257">
        <f t="shared" si="1"/>
        <v>30</v>
      </c>
      <c r="B33" s="70">
        <f t="shared" si="2"/>
        <v>2049</v>
      </c>
      <c r="C33" s="8">
        <f>'T7 Fuel Savings'!E33</f>
        <v>29925.059225644098</v>
      </c>
      <c r="D33" s="50">
        <f>+'T3 Inputs'!B$15</f>
        <v>2.7759999999999998</v>
      </c>
      <c r="E33" s="44">
        <f t="shared" si="3"/>
        <v>83071.964410388013</v>
      </c>
      <c r="F33" s="158">
        <f>E33/((1+'T3 Inputs'!$B$4)^(B33-B$2))</f>
        <v>10198.994842019958</v>
      </c>
      <c r="G33" s="236"/>
    </row>
    <row r="34" spans="1:7" ht="13.5" customHeight="1" thickBot="1" x14ac:dyDescent="0.25">
      <c r="A34" s="598" t="s">
        <v>0</v>
      </c>
      <c r="B34" s="599"/>
      <c r="C34" s="102">
        <f>SUM(C5:C33)</f>
        <v>867826.71754367882</v>
      </c>
      <c r="D34" s="103"/>
      <c r="E34" s="104">
        <f>SUM(E5:E33)</f>
        <v>2409086.9679012508</v>
      </c>
      <c r="F34" s="161">
        <f>SUM(F5:F33)</f>
        <v>890846.80153924017</v>
      </c>
      <c r="G34" s="236"/>
    </row>
    <row r="35" spans="1:7" x14ac:dyDescent="0.2">
      <c r="G35" s="236"/>
    </row>
    <row r="36" spans="1:7" ht="12.75" thickBot="1" x14ac:dyDescent="0.25">
      <c r="C36" s="259"/>
      <c r="D36" s="175"/>
      <c r="G36" s="236"/>
    </row>
    <row r="37" spans="1:7" ht="36" x14ac:dyDescent="0.2">
      <c r="A37" s="240" t="s">
        <v>130</v>
      </c>
      <c r="B37" s="101" t="s">
        <v>2</v>
      </c>
      <c r="C37" s="101" t="s">
        <v>22</v>
      </c>
      <c r="D37" s="101" t="s">
        <v>105</v>
      </c>
      <c r="E37" s="101" t="s">
        <v>372</v>
      </c>
      <c r="F37" s="156" t="s">
        <v>373</v>
      </c>
    </row>
    <row r="38" spans="1:7" x14ac:dyDescent="0.2">
      <c r="A38" s="246">
        <f t="shared" ref="A38:A70" si="4">A2</f>
        <v>-1</v>
      </c>
      <c r="B38" s="71">
        <f t="shared" ref="B38:B70" si="5">B2</f>
        <v>2018</v>
      </c>
      <c r="C38" s="311">
        <f t="shared" ref="C38:C70" si="6">ROUND(C2,-3)</f>
        <v>0</v>
      </c>
      <c r="D38" s="50">
        <f>D2</f>
        <v>2.7759999999999998</v>
      </c>
      <c r="E38" s="311">
        <f t="shared" ref="E38:F57" si="7">ROUND(E2,-3)</f>
        <v>0</v>
      </c>
      <c r="F38" s="312">
        <f t="shared" si="7"/>
        <v>0</v>
      </c>
    </row>
    <row r="39" spans="1:7" x14ac:dyDescent="0.2">
      <c r="A39" s="246">
        <f t="shared" si="4"/>
        <v>0</v>
      </c>
      <c r="B39" s="70">
        <f t="shared" si="5"/>
        <v>2019</v>
      </c>
      <c r="C39" s="311">
        <f t="shared" si="6"/>
        <v>0</v>
      </c>
      <c r="D39" s="50">
        <f t="shared" ref="D39:D69" si="8">D3</f>
        <v>2.7759999999999998</v>
      </c>
      <c r="E39" s="311">
        <f t="shared" si="7"/>
        <v>0</v>
      </c>
      <c r="F39" s="312">
        <f t="shared" si="7"/>
        <v>0</v>
      </c>
    </row>
    <row r="40" spans="1:7" x14ac:dyDescent="0.2">
      <c r="A40" s="246">
        <f t="shared" si="4"/>
        <v>1</v>
      </c>
      <c r="B40" s="70">
        <f t="shared" si="5"/>
        <v>2020</v>
      </c>
      <c r="C40" s="311">
        <f t="shared" si="6"/>
        <v>28000</v>
      </c>
      <c r="D40" s="50">
        <f t="shared" si="8"/>
        <v>2.7759999999999998</v>
      </c>
      <c r="E40" s="311">
        <f t="shared" si="7"/>
        <v>76000</v>
      </c>
      <c r="F40" s="312">
        <f t="shared" si="7"/>
        <v>67000</v>
      </c>
    </row>
    <row r="41" spans="1:7" x14ac:dyDescent="0.2">
      <c r="A41" s="246">
        <f t="shared" si="4"/>
        <v>2</v>
      </c>
      <c r="B41" s="70">
        <f t="shared" si="5"/>
        <v>2021</v>
      </c>
      <c r="C41" s="311">
        <f t="shared" si="6"/>
        <v>30000</v>
      </c>
      <c r="D41" s="50">
        <f t="shared" si="8"/>
        <v>2.7759999999999998</v>
      </c>
      <c r="E41" s="311">
        <f t="shared" si="7"/>
        <v>83000</v>
      </c>
      <c r="F41" s="313">
        <f t="shared" si="7"/>
        <v>68000</v>
      </c>
    </row>
    <row r="42" spans="1:7" x14ac:dyDescent="0.2">
      <c r="A42" s="246">
        <f t="shared" si="4"/>
        <v>3</v>
      </c>
      <c r="B42" s="70">
        <f t="shared" si="5"/>
        <v>2022</v>
      </c>
      <c r="C42" s="311">
        <f t="shared" si="6"/>
        <v>30000</v>
      </c>
      <c r="D42" s="50">
        <f t="shared" si="8"/>
        <v>2.7759999999999998</v>
      </c>
      <c r="E42" s="311">
        <f t="shared" si="7"/>
        <v>83000</v>
      </c>
      <c r="F42" s="313">
        <f t="shared" si="7"/>
        <v>63000</v>
      </c>
    </row>
    <row r="43" spans="1:7" x14ac:dyDescent="0.2">
      <c r="A43" s="246">
        <f t="shared" si="4"/>
        <v>4</v>
      </c>
      <c r="B43" s="70">
        <f t="shared" si="5"/>
        <v>2023</v>
      </c>
      <c r="C43" s="311">
        <f t="shared" si="6"/>
        <v>30000</v>
      </c>
      <c r="D43" s="50">
        <f t="shared" si="8"/>
        <v>2.7759999999999998</v>
      </c>
      <c r="E43" s="311">
        <f t="shared" si="7"/>
        <v>83000</v>
      </c>
      <c r="F43" s="313">
        <f t="shared" si="7"/>
        <v>59000</v>
      </c>
    </row>
    <row r="44" spans="1:7" x14ac:dyDescent="0.2">
      <c r="A44" s="246">
        <f t="shared" si="4"/>
        <v>5</v>
      </c>
      <c r="B44" s="70">
        <f t="shared" si="5"/>
        <v>2024</v>
      </c>
      <c r="C44" s="311">
        <f t="shared" si="6"/>
        <v>30000</v>
      </c>
      <c r="D44" s="50">
        <f t="shared" si="8"/>
        <v>2.7759999999999998</v>
      </c>
      <c r="E44" s="311">
        <f t="shared" si="7"/>
        <v>83000</v>
      </c>
      <c r="F44" s="313">
        <f t="shared" si="7"/>
        <v>55000</v>
      </c>
    </row>
    <row r="45" spans="1:7" x14ac:dyDescent="0.2">
      <c r="A45" s="246">
        <f t="shared" si="4"/>
        <v>6</v>
      </c>
      <c r="B45" s="70">
        <f t="shared" si="5"/>
        <v>2025</v>
      </c>
      <c r="C45" s="311">
        <f t="shared" si="6"/>
        <v>30000</v>
      </c>
      <c r="D45" s="50">
        <f t="shared" si="8"/>
        <v>2.7759999999999998</v>
      </c>
      <c r="E45" s="311">
        <f t="shared" si="7"/>
        <v>83000</v>
      </c>
      <c r="F45" s="313">
        <f t="shared" si="7"/>
        <v>52000</v>
      </c>
    </row>
    <row r="46" spans="1:7" x14ac:dyDescent="0.2">
      <c r="A46" s="246">
        <f t="shared" si="4"/>
        <v>7</v>
      </c>
      <c r="B46" s="70">
        <f t="shared" si="5"/>
        <v>2026</v>
      </c>
      <c r="C46" s="311">
        <f t="shared" si="6"/>
        <v>30000</v>
      </c>
      <c r="D46" s="50">
        <f t="shared" si="8"/>
        <v>2.7759999999999998</v>
      </c>
      <c r="E46" s="311">
        <f t="shared" si="7"/>
        <v>83000</v>
      </c>
      <c r="F46" s="313">
        <f t="shared" si="7"/>
        <v>48000</v>
      </c>
    </row>
    <row r="47" spans="1:7" x14ac:dyDescent="0.2">
      <c r="A47" s="246">
        <f t="shared" si="4"/>
        <v>8</v>
      </c>
      <c r="B47" s="70">
        <f t="shared" si="5"/>
        <v>2027</v>
      </c>
      <c r="C47" s="311">
        <f t="shared" si="6"/>
        <v>30000</v>
      </c>
      <c r="D47" s="50">
        <f t="shared" si="8"/>
        <v>2.7759999999999998</v>
      </c>
      <c r="E47" s="311">
        <f t="shared" si="7"/>
        <v>83000</v>
      </c>
      <c r="F47" s="313">
        <f t="shared" si="7"/>
        <v>45000</v>
      </c>
    </row>
    <row r="48" spans="1:7" x14ac:dyDescent="0.2">
      <c r="A48" s="246">
        <f t="shared" si="4"/>
        <v>9</v>
      </c>
      <c r="B48" s="70">
        <f t="shared" si="5"/>
        <v>2028</v>
      </c>
      <c r="C48" s="311">
        <f t="shared" si="6"/>
        <v>30000</v>
      </c>
      <c r="D48" s="50">
        <f t="shared" si="8"/>
        <v>2.7759999999999998</v>
      </c>
      <c r="E48" s="311">
        <f t="shared" si="7"/>
        <v>83000</v>
      </c>
      <c r="F48" s="313">
        <f t="shared" si="7"/>
        <v>42000</v>
      </c>
    </row>
    <row r="49" spans="1:6" x14ac:dyDescent="0.2">
      <c r="A49" s="246">
        <f t="shared" si="4"/>
        <v>10</v>
      </c>
      <c r="B49" s="70">
        <f t="shared" si="5"/>
        <v>2029</v>
      </c>
      <c r="C49" s="311">
        <f t="shared" si="6"/>
        <v>30000</v>
      </c>
      <c r="D49" s="50">
        <f t="shared" si="8"/>
        <v>2.7759999999999998</v>
      </c>
      <c r="E49" s="311">
        <f t="shared" si="7"/>
        <v>83000</v>
      </c>
      <c r="F49" s="313">
        <f t="shared" si="7"/>
        <v>39000</v>
      </c>
    </row>
    <row r="50" spans="1:6" x14ac:dyDescent="0.2">
      <c r="A50" s="246">
        <f t="shared" si="4"/>
        <v>11</v>
      </c>
      <c r="B50" s="70">
        <f t="shared" si="5"/>
        <v>2030</v>
      </c>
      <c r="C50" s="311">
        <f t="shared" si="6"/>
        <v>30000</v>
      </c>
      <c r="D50" s="50">
        <f t="shared" si="8"/>
        <v>2.7759999999999998</v>
      </c>
      <c r="E50" s="311">
        <f t="shared" si="7"/>
        <v>83000</v>
      </c>
      <c r="F50" s="313">
        <f t="shared" si="7"/>
        <v>37000</v>
      </c>
    </row>
    <row r="51" spans="1:6" x14ac:dyDescent="0.2">
      <c r="A51" s="246">
        <f t="shared" si="4"/>
        <v>12</v>
      </c>
      <c r="B51" s="70">
        <f t="shared" si="5"/>
        <v>2031</v>
      </c>
      <c r="C51" s="311">
        <f t="shared" si="6"/>
        <v>30000</v>
      </c>
      <c r="D51" s="50">
        <f t="shared" si="8"/>
        <v>2.7759999999999998</v>
      </c>
      <c r="E51" s="311">
        <f t="shared" si="7"/>
        <v>83000</v>
      </c>
      <c r="F51" s="313">
        <f t="shared" si="7"/>
        <v>34000</v>
      </c>
    </row>
    <row r="52" spans="1:6" x14ac:dyDescent="0.2">
      <c r="A52" s="246">
        <f t="shared" si="4"/>
        <v>13</v>
      </c>
      <c r="B52" s="70">
        <f t="shared" si="5"/>
        <v>2032</v>
      </c>
      <c r="C52" s="311">
        <f t="shared" si="6"/>
        <v>30000</v>
      </c>
      <c r="D52" s="50">
        <f t="shared" si="8"/>
        <v>2.7759999999999998</v>
      </c>
      <c r="E52" s="311">
        <f t="shared" si="7"/>
        <v>83000</v>
      </c>
      <c r="F52" s="313">
        <f t="shared" si="7"/>
        <v>32000</v>
      </c>
    </row>
    <row r="53" spans="1:6" x14ac:dyDescent="0.2">
      <c r="A53" s="246">
        <f t="shared" si="4"/>
        <v>14</v>
      </c>
      <c r="B53" s="70">
        <f t="shared" si="5"/>
        <v>2033</v>
      </c>
      <c r="C53" s="311">
        <f t="shared" si="6"/>
        <v>30000</v>
      </c>
      <c r="D53" s="50">
        <f t="shared" si="8"/>
        <v>2.7759999999999998</v>
      </c>
      <c r="E53" s="311">
        <f t="shared" si="7"/>
        <v>83000</v>
      </c>
      <c r="F53" s="313">
        <f t="shared" si="7"/>
        <v>30000</v>
      </c>
    </row>
    <row r="54" spans="1:6" x14ac:dyDescent="0.2">
      <c r="A54" s="246">
        <f t="shared" si="4"/>
        <v>15</v>
      </c>
      <c r="B54" s="70">
        <f t="shared" si="5"/>
        <v>2034</v>
      </c>
      <c r="C54" s="311">
        <f t="shared" si="6"/>
        <v>30000</v>
      </c>
      <c r="D54" s="50">
        <f t="shared" si="8"/>
        <v>2.7759999999999998</v>
      </c>
      <c r="E54" s="311">
        <f t="shared" si="7"/>
        <v>83000</v>
      </c>
      <c r="F54" s="313">
        <f t="shared" si="7"/>
        <v>28000</v>
      </c>
    </row>
    <row r="55" spans="1:6" x14ac:dyDescent="0.2">
      <c r="A55" s="246">
        <f t="shared" si="4"/>
        <v>16</v>
      </c>
      <c r="B55" s="70">
        <f t="shared" si="5"/>
        <v>2035</v>
      </c>
      <c r="C55" s="311">
        <f t="shared" si="6"/>
        <v>30000</v>
      </c>
      <c r="D55" s="50">
        <f t="shared" si="8"/>
        <v>2.7759999999999998</v>
      </c>
      <c r="E55" s="311">
        <f t="shared" si="7"/>
        <v>83000</v>
      </c>
      <c r="F55" s="313">
        <f t="shared" si="7"/>
        <v>26000</v>
      </c>
    </row>
    <row r="56" spans="1:6" x14ac:dyDescent="0.2">
      <c r="A56" s="246">
        <f t="shared" si="4"/>
        <v>17</v>
      </c>
      <c r="B56" s="70">
        <f t="shared" si="5"/>
        <v>2036</v>
      </c>
      <c r="C56" s="311">
        <f t="shared" si="6"/>
        <v>30000</v>
      </c>
      <c r="D56" s="50">
        <f t="shared" si="8"/>
        <v>2.7759999999999998</v>
      </c>
      <c r="E56" s="311">
        <f t="shared" si="7"/>
        <v>83000</v>
      </c>
      <c r="F56" s="313">
        <f t="shared" si="7"/>
        <v>25000</v>
      </c>
    </row>
    <row r="57" spans="1:6" x14ac:dyDescent="0.2">
      <c r="A57" s="246">
        <f t="shared" si="4"/>
        <v>18</v>
      </c>
      <c r="B57" s="70">
        <f t="shared" si="5"/>
        <v>2037</v>
      </c>
      <c r="C57" s="311">
        <f t="shared" si="6"/>
        <v>30000</v>
      </c>
      <c r="D57" s="50">
        <f t="shared" si="8"/>
        <v>2.7759999999999998</v>
      </c>
      <c r="E57" s="311">
        <f t="shared" si="7"/>
        <v>83000</v>
      </c>
      <c r="F57" s="313">
        <f t="shared" si="7"/>
        <v>23000</v>
      </c>
    </row>
    <row r="58" spans="1:6" x14ac:dyDescent="0.2">
      <c r="A58" s="246">
        <f t="shared" si="4"/>
        <v>19</v>
      </c>
      <c r="B58" s="70">
        <f t="shared" si="5"/>
        <v>2038</v>
      </c>
      <c r="C58" s="311">
        <f t="shared" si="6"/>
        <v>30000</v>
      </c>
      <c r="D58" s="50">
        <f t="shared" si="8"/>
        <v>2.7759999999999998</v>
      </c>
      <c r="E58" s="311">
        <f t="shared" ref="E58:F70" si="9">ROUND(E22,-3)</f>
        <v>83000</v>
      </c>
      <c r="F58" s="313">
        <f t="shared" si="9"/>
        <v>21000</v>
      </c>
    </row>
    <row r="59" spans="1:6" x14ac:dyDescent="0.2">
      <c r="A59" s="246">
        <f t="shared" si="4"/>
        <v>20</v>
      </c>
      <c r="B59" s="70">
        <f t="shared" si="5"/>
        <v>2039</v>
      </c>
      <c r="C59" s="311">
        <f t="shared" si="6"/>
        <v>30000</v>
      </c>
      <c r="D59" s="50">
        <f t="shared" si="8"/>
        <v>2.7759999999999998</v>
      </c>
      <c r="E59" s="311">
        <f t="shared" si="9"/>
        <v>83000</v>
      </c>
      <c r="F59" s="313">
        <f t="shared" si="9"/>
        <v>20000</v>
      </c>
    </row>
    <row r="60" spans="1:6" x14ac:dyDescent="0.2">
      <c r="A60" s="246">
        <f t="shared" si="4"/>
        <v>21</v>
      </c>
      <c r="B60" s="70">
        <f t="shared" si="5"/>
        <v>2040</v>
      </c>
      <c r="C60" s="311">
        <f t="shared" si="6"/>
        <v>30000</v>
      </c>
      <c r="D60" s="50">
        <f t="shared" si="8"/>
        <v>2.7759999999999998</v>
      </c>
      <c r="E60" s="311">
        <f t="shared" si="9"/>
        <v>83000</v>
      </c>
      <c r="F60" s="313">
        <f t="shared" si="9"/>
        <v>19000</v>
      </c>
    </row>
    <row r="61" spans="1:6" x14ac:dyDescent="0.2">
      <c r="A61" s="246">
        <f t="shared" si="4"/>
        <v>22</v>
      </c>
      <c r="B61" s="70">
        <f t="shared" si="5"/>
        <v>2041</v>
      </c>
      <c r="C61" s="311">
        <f t="shared" si="6"/>
        <v>30000</v>
      </c>
      <c r="D61" s="50">
        <f t="shared" si="8"/>
        <v>2.7759999999999998</v>
      </c>
      <c r="E61" s="311">
        <f t="shared" si="9"/>
        <v>83000</v>
      </c>
      <c r="F61" s="313">
        <f t="shared" si="9"/>
        <v>18000</v>
      </c>
    </row>
    <row r="62" spans="1:6" x14ac:dyDescent="0.2">
      <c r="A62" s="246">
        <f t="shared" si="4"/>
        <v>23</v>
      </c>
      <c r="B62" s="70">
        <f t="shared" si="5"/>
        <v>2042</v>
      </c>
      <c r="C62" s="311">
        <f t="shared" si="6"/>
        <v>30000</v>
      </c>
      <c r="D62" s="50">
        <f t="shared" si="8"/>
        <v>2.7759999999999998</v>
      </c>
      <c r="E62" s="311">
        <f t="shared" si="9"/>
        <v>83000</v>
      </c>
      <c r="F62" s="313">
        <f t="shared" si="9"/>
        <v>16000</v>
      </c>
    </row>
    <row r="63" spans="1:6" x14ac:dyDescent="0.2">
      <c r="A63" s="246">
        <f t="shared" si="4"/>
        <v>24</v>
      </c>
      <c r="B63" s="70">
        <f t="shared" si="5"/>
        <v>2043</v>
      </c>
      <c r="C63" s="311">
        <f t="shared" si="6"/>
        <v>30000</v>
      </c>
      <c r="D63" s="50">
        <f t="shared" si="8"/>
        <v>2.7759999999999998</v>
      </c>
      <c r="E63" s="311">
        <f t="shared" si="9"/>
        <v>83000</v>
      </c>
      <c r="F63" s="313">
        <f t="shared" si="9"/>
        <v>15000</v>
      </c>
    </row>
    <row r="64" spans="1:6" x14ac:dyDescent="0.2">
      <c r="A64" s="246">
        <f t="shared" si="4"/>
        <v>25</v>
      </c>
      <c r="B64" s="70">
        <f t="shared" si="5"/>
        <v>2044</v>
      </c>
      <c r="C64" s="311">
        <f t="shared" si="6"/>
        <v>30000</v>
      </c>
      <c r="D64" s="50">
        <f t="shared" si="8"/>
        <v>2.7759999999999998</v>
      </c>
      <c r="E64" s="311">
        <f t="shared" si="9"/>
        <v>83000</v>
      </c>
      <c r="F64" s="313">
        <f t="shared" si="9"/>
        <v>14000</v>
      </c>
    </row>
    <row r="65" spans="1:6" x14ac:dyDescent="0.2">
      <c r="A65" s="246">
        <f t="shared" si="4"/>
        <v>26</v>
      </c>
      <c r="B65" s="70">
        <f t="shared" si="5"/>
        <v>2045</v>
      </c>
      <c r="C65" s="311">
        <f t="shared" si="6"/>
        <v>30000</v>
      </c>
      <c r="D65" s="50">
        <f t="shared" si="8"/>
        <v>2.7759999999999998</v>
      </c>
      <c r="E65" s="311">
        <f t="shared" si="9"/>
        <v>83000</v>
      </c>
      <c r="F65" s="313">
        <f t="shared" si="9"/>
        <v>13000</v>
      </c>
    </row>
    <row r="66" spans="1:6" x14ac:dyDescent="0.2">
      <c r="A66" s="246">
        <f t="shared" si="4"/>
        <v>27</v>
      </c>
      <c r="B66" s="70">
        <f t="shared" si="5"/>
        <v>2046</v>
      </c>
      <c r="C66" s="311">
        <f t="shared" si="6"/>
        <v>30000</v>
      </c>
      <c r="D66" s="50">
        <f t="shared" si="8"/>
        <v>2.7759999999999998</v>
      </c>
      <c r="E66" s="311">
        <f t="shared" si="9"/>
        <v>83000</v>
      </c>
      <c r="F66" s="313">
        <f t="shared" si="9"/>
        <v>12000</v>
      </c>
    </row>
    <row r="67" spans="1:6" x14ac:dyDescent="0.2">
      <c r="A67" s="246">
        <f t="shared" si="4"/>
        <v>28</v>
      </c>
      <c r="B67" s="70">
        <f t="shared" si="5"/>
        <v>2047</v>
      </c>
      <c r="C67" s="311">
        <f t="shared" si="6"/>
        <v>30000</v>
      </c>
      <c r="D67" s="50">
        <f t="shared" si="8"/>
        <v>2.7759999999999998</v>
      </c>
      <c r="E67" s="311">
        <f t="shared" si="9"/>
        <v>83000</v>
      </c>
      <c r="F67" s="313">
        <f t="shared" si="9"/>
        <v>12000</v>
      </c>
    </row>
    <row r="68" spans="1:6" x14ac:dyDescent="0.2">
      <c r="A68" s="246">
        <f t="shared" si="4"/>
        <v>29</v>
      </c>
      <c r="B68" s="70">
        <f t="shared" si="5"/>
        <v>2048</v>
      </c>
      <c r="C68" s="311">
        <f t="shared" si="6"/>
        <v>30000</v>
      </c>
      <c r="D68" s="50">
        <f t="shared" si="8"/>
        <v>2.7759999999999998</v>
      </c>
      <c r="E68" s="311">
        <f t="shared" si="9"/>
        <v>83000</v>
      </c>
      <c r="F68" s="313">
        <f t="shared" si="9"/>
        <v>11000</v>
      </c>
    </row>
    <row r="69" spans="1:6" x14ac:dyDescent="0.2">
      <c r="A69" s="246">
        <f t="shared" si="4"/>
        <v>30</v>
      </c>
      <c r="B69" s="70">
        <f t="shared" si="5"/>
        <v>2049</v>
      </c>
      <c r="C69" s="311">
        <f t="shared" si="6"/>
        <v>30000</v>
      </c>
      <c r="D69" s="50">
        <f t="shared" si="8"/>
        <v>2.7759999999999998</v>
      </c>
      <c r="E69" s="311">
        <f t="shared" si="9"/>
        <v>83000</v>
      </c>
      <c r="F69" s="313">
        <f t="shared" si="9"/>
        <v>10000</v>
      </c>
    </row>
    <row r="70" spans="1:6" ht="12.75" thickBot="1" x14ac:dyDescent="0.25">
      <c r="A70" s="587" t="str">
        <f t="shared" si="4"/>
        <v>Total</v>
      </c>
      <c r="B70" s="588">
        <f t="shared" si="5"/>
        <v>0</v>
      </c>
      <c r="C70" s="314">
        <f t="shared" si="6"/>
        <v>868000</v>
      </c>
      <c r="D70" s="310"/>
      <c r="E70" s="314">
        <f t="shared" si="9"/>
        <v>2409000</v>
      </c>
      <c r="F70" s="315">
        <f t="shared" si="9"/>
        <v>891000</v>
      </c>
    </row>
  </sheetData>
  <mergeCells count="2">
    <mergeCell ref="A34:B34"/>
    <mergeCell ref="A70:B70"/>
  </mergeCells>
  <pageMargins left="0.75" right="0.75" top="1" bottom="1" header="0.5" footer="0.5"/>
  <pageSetup orientation="portrait" verticalDpi="0" r:id="rId1"/>
  <headerFooter alignWithMargins="0"/>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Normal="100" workbookViewId="0"/>
  </sheetViews>
  <sheetFormatPr defaultRowHeight="12.75" x14ac:dyDescent="0.2"/>
  <cols>
    <col min="1" max="2" width="8.7109375" style="1" customWidth="1"/>
    <col min="3" max="6" width="15.7109375" style="1" customWidth="1"/>
    <col min="7" max="16384" width="9.140625" style="1"/>
  </cols>
  <sheetData>
    <row r="1" spans="1:8" s="219" customFormat="1" ht="48" x14ac:dyDescent="0.2">
      <c r="A1" s="218" t="s">
        <v>130</v>
      </c>
      <c r="B1" s="101" t="s">
        <v>2</v>
      </c>
      <c r="C1" s="101" t="s">
        <v>116</v>
      </c>
      <c r="D1" s="101" t="s">
        <v>96</v>
      </c>
      <c r="E1" s="163" t="s">
        <v>43</v>
      </c>
      <c r="F1" s="156" t="s">
        <v>97</v>
      </c>
    </row>
    <row r="2" spans="1:8" x14ac:dyDescent="0.2">
      <c r="A2" s="17">
        <v>-1</v>
      </c>
      <c r="B2" s="71">
        <v>2018</v>
      </c>
      <c r="C2" s="7">
        <f>'T9 Reduced Bunker Fuel'!F2</f>
        <v>0</v>
      </c>
      <c r="D2" s="40">
        <f>'T3 Inputs'!$B$34</f>
        <v>535</v>
      </c>
      <c r="E2" s="7">
        <f>C2*D2</f>
        <v>0</v>
      </c>
      <c r="F2" s="170">
        <f>E2/((1+'T3 Inputs'!$B$4)^(B2-B$2))</f>
        <v>0</v>
      </c>
    </row>
    <row r="3" spans="1:8" x14ac:dyDescent="0.2">
      <c r="A3" s="17">
        <f>A2+1</f>
        <v>0</v>
      </c>
      <c r="B3" s="70">
        <f>B2+1</f>
        <v>2019</v>
      </c>
      <c r="C3" s="7">
        <f>'T9 Reduced Bunker Fuel'!F3</f>
        <v>0</v>
      </c>
      <c r="D3" s="40">
        <f>'T3 Inputs'!$B$34</f>
        <v>535</v>
      </c>
      <c r="E3" s="7">
        <f>C3*D3</f>
        <v>0</v>
      </c>
      <c r="F3" s="170">
        <f>E3/((1+'T3 Inputs'!$B$4)^(B3-B$2))</f>
        <v>0</v>
      </c>
    </row>
    <row r="4" spans="1:8" x14ac:dyDescent="0.2">
      <c r="A4" s="17">
        <f t="shared" ref="A4:A33" si="0">A3+1</f>
        <v>1</v>
      </c>
      <c r="B4" s="70">
        <f t="shared" ref="B4:B33" si="1">B3+1</f>
        <v>2020</v>
      </c>
      <c r="C4" s="7">
        <f>'T9 Reduced Bunker Fuel'!F4</f>
        <v>272.16000357148863</v>
      </c>
      <c r="D4" s="40">
        <f>'T3 Inputs'!$B$34</f>
        <v>535</v>
      </c>
      <c r="E4" s="7">
        <f>C4*D4</f>
        <v>145605.60191074642</v>
      </c>
      <c r="F4" s="170">
        <f>E4/((1+'T3 Inputs'!$B$4)^(B4-B$2))</f>
        <v>127177.57176237786</v>
      </c>
    </row>
    <row r="5" spans="1:8" x14ac:dyDescent="0.2">
      <c r="A5" s="17">
        <f t="shared" si="0"/>
        <v>2</v>
      </c>
      <c r="B5" s="70">
        <f t="shared" si="1"/>
        <v>2021</v>
      </c>
      <c r="C5" s="8">
        <f>'T9 Reduced Bunker Fuel'!F5</f>
        <v>277.6032036429184</v>
      </c>
      <c r="D5" s="38">
        <f>'T3 Inputs'!$B$34</f>
        <v>535</v>
      </c>
      <c r="E5" s="47">
        <f t="shared" ref="E5:E33" si="2">C5*D5</f>
        <v>148517.71394896135</v>
      </c>
      <c r="F5" s="171">
        <f>E5/((1+'T3 Inputs'!$B$4)^(B5-B$2))</f>
        <v>121234.69457722001</v>
      </c>
    </row>
    <row r="6" spans="1:8" x14ac:dyDescent="0.2">
      <c r="A6" s="17">
        <f t="shared" si="0"/>
        <v>3</v>
      </c>
      <c r="B6" s="70">
        <f t="shared" si="1"/>
        <v>2022</v>
      </c>
      <c r="C6" s="8">
        <f>'T9 Reduced Bunker Fuel'!F6</f>
        <v>283.15526771577674</v>
      </c>
      <c r="D6" s="38">
        <f>'T3 Inputs'!$B$34</f>
        <v>535</v>
      </c>
      <c r="E6" s="47">
        <f t="shared" si="2"/>
        <v>151488.06822794056</v>
      </c>
      <c r="F6" s="171">
        <f>E6/((1+'T3 Inputs'!$B$4)^(B6-B$2))</f>
        <v>115569.52193342468</v>
      </c>
    </row>
    <row r="7" spans="1:8" x14ac:dyDescent="0.2">
      <c r="A7" s="17">
        <f t="shared" si="0"/>
        <v>4</v>
      </c>
      <c r="B7" s="70">
        <f t="shared" si="1"/>
        <v>2023</v>
      </c>
      <c r="C7" s="8">
        <f>'T9 Reduced Bunker Fuel'!F7</f>
        <v>288.81837307009226</v>
      </c>
      <c r="D7" s="38">
        <f>'T3 Inputs'!$B$34</f>
        <v>535</v>
      </c>
      <c r="E7" s="47">
        <f t="shared" si="2"/>
        <v>154517.82959249936</v>
      </c>
      <c r="F7" s="171">
        <f>E7/((1+'T3 Inputs'!$B$4)^(B7-B$2))</f>
        <v>110169.07698326463</v>
      </c>
    </row>
    <row r="8" spans="1:8" x14ac:dyDescent="0.2">
      <c r="A8" s="17">
        <f t="shared" si="0"/>
        <v>5</v>
      </c>
      <c r="B8" s="70">
        <f t="shared" si="1"/>
        <v>2024</v>
      </c>
      <c r="C8" s="8">
        <f>'T9 Reduced Bunker Fuel'!F8</f>
        <v>294.59474053149415</v>
      </c>
      <c r="D8" s="38">
        <f>'T3 Inputs'!$B$34</f>
        <v>535</v>
      </c>
      <c r="E8" s="47">
        <f t="shared" si="2"/>
        <v>157608.18618434938</v>
      </c>
      <c r="F8" s="171">
        <f>E8/((1+'T3 Inputs'!$B$4)^(B8-B$2))</f>
        <v>105020.98927376632</v>
      </c>
    </row>
    <row r="9" spans="1:8" x14ac:dyDescent="0.2">
      <c r="A9" s="17">
        <f t="shared" si="0"/>
        <v>6</v>
      </c>
      <c r="B9" s="70">
        <f t="shared" si="1"/>
        <v>2025</v>
      </c>
      <c r="C9" s="8">
        <f>'T9 Reduced Bunker Fuel'!F9</f>
        <v>300.48663534212398</v>
      </c>
      <c r="D9" s="38">
        <f>'T3 Inputs'!$B$34</f>
        <v>535</v>
      </c>
      <c r="E9" s="47">
        <f t="shared" si="2"/>
        <v>160760.34990803633</v>
      </c>
      <c r="F9" s="171">
        <f>E9/((1+'T3 Inputs'!$B$4)^(B9-B$2))</f>
        <v>100113.46641050617</v>
      </c>
    </row>
    <row r="10" spans="1:8" x14ac:dyDescent="0.2">
      <c r="A10" s="17">
        <f t="shared" si="0"/>
        <v>7</v>
      </c>
      <c r="B10" s="70">
        <f t="shared" si="1"/>
        <v>2026</v>
      </c>
      <c r="C10" s="8">
        <f>'T9 Reduced Bunker Fuel'!F10</f>
        <v>306.49636804896653</v>
      </c>
      <c r="D10" s="38">
        <f>'T3 Inputs'!$B$34</f>
        <v>535</v>
      </c>
      <c r="E10" s="47">
        <f t="shared" si="2"/>
        <v>163975.5569061971</v>
      </c>
      <c r="F10" s="171">
        <f>E10/((1+'T3 Inputs'!$B$4)^(B10-B$2))</f>
        <v>95435.267045529283</v>
      </c>
    </row>
    <row r="11" spans="1:8" x14ac:dyDescent="0.2">
      <c r="A11" s="17">
        <f t="shared" si="0"/>
        <v>8</v>
      </c>
      <c r="B11" s="70">
        <f t="shared" si="1"/>
        <v>2027</v>
      </c>
      <c r="C11" s="8">
        <f>'T9 Reduced Bunker Fuel'!F11</f>
        <v>312.62629540994584</v>
      </c>
      <c r="D11" s="38">
        <f>'T3 Inputs'!$B$34</f>
        <v>535</v>
      </c>
      <c r="E11" s="47">
        <f t="shared" si="2"/>
        <v>167255.06804432103</v>
      </c>
      <c r="F11" s="171">
        <f>E11/((1+'T3 Inputs'!$B$4)^(B11-B$2))</f>
        <v>90975.675127513881</v>
      </c>
      <c r="H11" s="175"/>
    </row>
    <row r="12" spans="1:8" x14ac:dyDescent="0.2">
      <c r="A12" s="17">
        <f t="shared" si="0"/>
        <v>9</v>
      </c>
      <c r="B12" s="70">
        <f t="shared" si="1"/>
        <v>2028</v>
      </c>
      <c r="C12" s="8">
        <f>'T9 Reduced Bunker Fuel'!F12</f>
        <v>318.87882131814479</v>
      </c>
      <c r="D12" s="38">
        <f>'T3 Inputs'!$B$34</f>
        <v>535</v>
      </c>
      <c r="E12" s="47">
        <f t="shared" si="2"/>
        <v>170600.16940520747</v>
      </c>
      <c r="F12" s="171">
        <f>E12/((1+'T3 Inputs'!$B$4)^(B12-B$2))</f>
        <v>86724.475355200164</v>
      </c>
    </row>
    <row r="13" spans="1:8" x14ac:dyDescent="0.2">
      <c r="A13" s="17">
        <f t="shared" si="0"/>
        <v>10</v>
      </c>
      <c r="B13" s="70">
        <f t="shared" si="1"/>
        <v>2029</v>
      </c>
      <c r="C13" s="8">
        <f>'T9 Reduced Bunker Fuel'!F13</f>
        <v>325.25639774450775</v>
      </c>
      <c r="D13" s="38">
        <f>'T3 Inputs'!$B$34</f>
        <v>535</v>
      </c>
      <c r="E13" s="47">
        <f t="shared" si="2"/>
        <v>174012.17279331165</v>
      </c>
      <c r="F13" s="171">
        <f>E13/((1+'T3 Inputs'!$B$4)^(B13-B$2))</f>
        <v>82671.929777854355</v>
      </c>
    </row>
    <row r="14" spans="1:8" x14ac:dyDescent="0.2">
      <c r="A14" s="17">
        <f t="shared" si="0"/>
        <v>11</v>
      </c>
      <c r="B14" s="70">
        <f t="shared" si="1"/>
        <v>2030</v>
      </c>
      <c r="C14" s="8">
        <f>'T9 Reduced Bunker Fuel'!F14</f>
        <v>323.31429375463688</v>
      </c>
      <c r="D14" s="38">
        <f>'T3 Inputs'!$B$34</f>
        <v>535</v>
      </c>
      <c r="E14" s="47">
        <f t="shared" si="2"/>
        <v>172973.14715873072</v>
      </c>
      <c r="F14" s="171">
        <f>E14/((1+'T3 Inputs'!$B$4)^(B14-B$2))</f>
        <v>76802.145965984048</v>
      </c>
    </row>
    <row r="15" spans="1:8" x14ac:dyDescent="0.2">
      <c r="A15" s="17">
        <f t="shared" si="0"/>
        <v>12</v>
      </c>
      <c r="B15" s="70">
        <f t="shared" si="1"/>
        <v>2031</v>
      </c>
      <c r="C15" s="8">
        <f>'T9 Reduced Bunker Fuel'!F15</f>
        <v>321.50229232386374</v>
      </c>
      <c r="D15" s="38">
        <f>'T3 Inputs'!$B$34</f>
        <v>535</v>
      </c>
      <c r="E15" s="47">
        <f t="shared" si="2"/>
        <v>172003.7263932671</v>
      </c>
      <c r="F15" s="171">
        <f>E15/((1+'T3 Inputs'!$B$4)^(B15-B$2))</f>
        <v>71375.431357553171</v>
      </c>
    </row>
    <row r="16" spans="1:8" x14ac:dyDescent="0.2">
      <c r="A16" s="17">
        <f t="shared" si="0"/>
        <v>13</v>
      </c>
      <c r="B16" s="70">
        <f t="shared" si="1"/>
        <v>2032</v>
      </c>
      <c r="C16" s="8">
        <f>'T9 Reduced Bunker Fuel'!F16</f>
        <v>319.82299550337058</v>
      </c>
      <c r="D16" s="38">
        <f>'T3 Inputs'!$B$34</f>
        <v>535</v>
      </c>
      <c r="E16" s="47">
        <f t="shared" si="2"/>
        <v>171105.30259430327</v>
      </c>
      <c r="F16" s="171">
        <f>E16/((1+'T3 Inputs'!$B$4)^(B16-B$2))</f>
        <v>66357.586375557221</v>
      </c>
    </row>
    <row r="17" spans="1:6" x14ac:dyDescent="0.2">
      <c r="A17" s="17">
        <f t="shared" si="0"/>
        <v>14</v>
      </c>
      <c r="B17" s="70">
        <f t="shared" si="1"/>
        <v>2033</v>
      </c>
      <c r="C17" s="8">
        <f>'T9 Reduced Bunker Fuel'!F17</f>
        <v>318.27905738536271</v>
      </c>
      <c r="D17" s="38">
        <f>'T3 Inputs'!$B$34</f>
        <v>535</v>
      </c>
      <c r="E17" s="47">
        <f t="shared" si="2"/>
        <v>170279.29570116906</v>
      </c>
      <c r="F17" s="171">
        <f>E17/((1+'T3 Inputs'!$B$4)^(B17-B$2))</f>
        <v>61717.05295439309</v>
      </c>
    </row>
    <row r="18" spans="1:6" x14ac:dyDescent="0.2">
      <c r="A18" s="17">
        <f t="shared" si="0"/>
        <v>15</v>
      </c>
      <c r="B18" s="70">
        <f t="shared" si="1"/>
        <v>2034</v>
      </c>
      <c r="C18" s="8">
        <f>'T9 Reduced Bunker Fuel'!F18</f>
        <v>316.87318514388988</v>
      </c>
      <c r="D18" s="38">
        <f>'T3 Inputs'!$B$34</f>
        <v>535</v>
      </c>
      <c r="E18" s="47">
        <f t="shared" si="2"/>
        <v>169527.15405198108</v>
      </c>
      <c r="F18" s="171">
        <f>E18/((1+'T3 Inputs'!$B$4)^(B18-B$2))</f>
        <v>57424.712343399697</v>
      </c>
    </row>
    <row r="19" spans="1:6" x14ac:dyDescent="0.2">
      <c r="A19" s="17">
        <f t="shared" si="0"/>
        <v>16</v>
      </c>
      <c r="B19" s="70">
        <f t="shared" si="1"/>
        <v>2035</v>
      </c>
      <c r="C19" s="8">
        <f>'T9 Reduced Bunker Fuel'!F19</f>
        <v>315.60814009648277</v>
      </c>
      <c r="D19" s="38">
        <f>'T3 Inputs'!$B$34</f>
        <v>535</v>
      </c>
      <c r="E19" s="47">
        <f t="shared" si="2"/>
        <v>168850.35495161827</v>
      </c>
      <c r="F19" s="171">
        <f>E19/((1+'T3 Inputs'!$B$4)^(B19-B$2))</f>
        <v>53453.698198457198</v>
      </c>
    </row>
    <row r="20" spans="1:6" x14ac:dyDescent="0.2">
      <c r="A20" s="17">
        <f t="shared" si="0"/>
        <v>17</v>
      </c>
      <c r="B20" s="70">
        <f t="shared" si="1"/>
        <v>2036</v>
      </c>
      <c r="C20" s="8">
        <f>'T9 Reduced Bunker Fuel'!F20</f>
        <v>314.48673878702283</v>
      </c>
      <c r="D20" s="38">
        <f>'T3 Inputs'!$B$34</f>
        <v>535</v>
      </c>
      <c r="E20" s="47">
        <f t="shared" si="2"/>
        <v>168250.40525105721</v>
      </c>
      <c r="F20" s="171">
        <f>E20/((1+'T3 Inputs'!$B$4)^(B20-B$2))</f>
        <v>49779.223820273786</v>
      </c>
    </row>
    <row r="21" spans="1:6" x14ac:dyDescent="0.2">
      <c r="A21" s="17">
        <f t="shared" si="0"/>
        <v>18</v>
      </c>
      <c r="B21" s="70">
        <f t="shared" si="1"/>
        <v>2037</v>
      </c>
      <c r="C21" s="8">
        <f>'T9 Reduced Bunker Fuel'!F21</f>
        <v>313.5118540902688</v>
      </c>
      <c r="D21" s="38">
        <f>'T3 Inputs'!$B$34</f>
        <v>535</v>
      </c>
      <c r="E21" s="47">
        <f t="shared" si="2"/>
        <v>167728.8419382938</v>
      </c>
      <c r="F21" s="171">
        <f>E21/((1+'T3 Inputs'!$B$4)^(B21-B$2))</f>
        <v>46378.422482196205</v>
      </c>
    </row>
    <row r="22" spans="1:6" x14ac:dyDescent="0.2">
      <c r="A22" s="17">
        <f t="shared" si="0"/>
        <v>19</v>
      </c>
      <c r="B22" s="70">
        <f t="shared" si="1"/>
        <v>2038</v>
      </c>
      <c r="C22" s="8">
        <f>'T9 Reduced Bunker Fuel'!F22</f>
        <v>312.68641633847506</v>
      </c>
      <c r="D22" s="38">
        <f>'T3 Inputs'!$B$34</f>
        <v>535</v>
      </c>
      <c r="E22" s="47">
        <f t="shared" si="2"/>
        <v>167287.23274108415</v>
      </c>
      <c r="F22" s="171">
        <f>E22/((1+'T3 Inputs'!$B$4)^(B22-B$2))</f>
        <v>43230.199868442534</v>
      </c>
    </row>
    <row r="23" spans="1:6" x14ac:dyDescent="0.2">
      <c r="A23" s="17">
        <f t="shared" si="0"/>
        <v>20</v>
      </c>
      <c r="B23" s="70">
        <f t="shared" si="1"/>
        <v>2039</v>
      </c>
      <c r="C23" s="8">
        <f>'T9 Reduced Bunker Fuel'!F23</f>
        <v>312.01341447054057</v>
      </c>
      <c r="D23" s="38">
        <f>'T3 Inputs'!$B$34</f>
        <v>535</v>
      </c>
      <c r="E23" s="47">
        <f t="shared" si="2"/>
        <v>166927.17674173921</v>
      </c>
      <c r="F23" s="171">
        <f>E23/((1+'T3 Inputs'!$B$4)^(B23-B$2))</f>
        <v>40315.097716013704</v>
      </c>
    </row>
    <row r="24" spans="1:6" x14ac:dyDescent="0.2">
      <c r="A24" s="17">
        <f t="shared" si="0"/>
        <v>21</v>
      </c>
      <c r="B24" s="70">
        <f t="shared" si="1"/>
        <v>2040</v>
      </c>
      <c r="C24" s="8">
        <f>'T9 Reduced Bunker Fuel'!F24</f>
        <v>311.49589720414252</v>
      </c>
      <c r="D24" s="38">
        <f>'T3 Inputs'!$B$34</f>
        <v>535</v>
      </c>
      <c r="E24" s="47">
        <f t="shared" si="2"/>
        <v>166650.30500421624</v>
      </c>
      <c r="F24" s="171">
        <f>E24/((1+'T3 Inputs'!$B$4)^(B24-B$2))</f>
        <v>37615.167820610208</v>
      </c>
    </row>
    <row r="25" spans="1:6" x14ac:dyDescent="0.2">
      <c r="A25" s="17">
        <f t="shared" si="0"/>
        <v>22</v>
      </c>
      <c r="B25" s="70">
        <f t="shared" si="1"/>
        <v>2041</v>
      </c>
      <c r="C25" s="8">
        <f>'T9 Reduced Bunker Fuel'!F25</f>
        <v>311.13697423131185</v>
      </c>
      <c r="D25" s="38">
        <f>'T3 Inputs'!$B$34</f>
        <v>535</v>
      </c>
      <c r="E25" s="47">
        <f t="shared" si="2"/>
        <v>166458.28121375185</v>
      </c>
      <c r="F25" s="171">
        <f>E25/((1+'T3 Inputs'!$B$4)^(B25-B$2))</f>
        <v>35113.855629041827</v>
      </c>
    </row>
    <row r="26" spans="1:6" x14ac:dyDescent="0.2">
      <c r="A26" s="17">
        <f t="shared" si="0"/>
        <v>23</v>
      </c>
      <c r="B26" s="70">
        <f t="shared" si="1"/>
        <v>2042</v>
      </c>
      <c r="C26" s="8">
        <f>'T9 Reduced Bunker Fuel'!F26</f>
        <v>310.93981743791971</v>
      </c>
      <c r="D26" s="38">
        <f>'T3 Inputs'!$B$34</f>
        <v>535</v>
      </c>
      <c r="E26" s="47">
        <f t="shared" si="2"/>
        <v>166352.80232928705</v>
      </c>
      <c r="F26" s="171">
        <f>E26/((1+'T3 Inputs'!$B$4)^(B26-B$2))</f>
        <v>32795.892698229203</v>
      </c>
    </row>
    <row r="27" spans="1:6" x14ac:dyDescent="0.2">
      <c r="A27" s="17">
        <f t="shared" si="0"/>
        <v>24</v>
      </c>
      <c r="B27" s="70">
        <f t="shared" si="1"/>
        <v>2043</v>
      </c>
      <c r="C27" s="8">
        <f>'T9 Reduced Bunker Fuel'!F27</f>
        <v>310.90766214755502</v>
      </c>
      <c r="D27" s="38">
        <f>'T3 Inputs'!$B$34</f>
        <v>535</v>
      </c>
      <c r="E27" s="47">
        <f t="shared" si="2"/>
        <v>166335.59924894193</v>
      </c>
      <c r="F27" s="171">
        <f>E27/((1+'T3 Inputs'!$B$4)^(B27-B$2))</f>
        <v>30647.1973542864</v>
      </c>
    </row>
    <row r="28" spans="1:6" x14ac:dyDescent="0.2">
      <c r="A28" s="17">
        <f t="shared" si="0"/>
        <v>25</v>
      </c>
      <c r="B28" s="70">
        <f t="shared" si="1"/>
        <v>2044</v>
      </c>
      <c r="C28" s="8">
        <f>'T9 Reduced Bunker Fuel'!F28</f>
        <v>311.04380839027817</v>
      </c>
      <c r="D28" s="38">
        <f>'T3 Inputs'!$B$34</f>
        <v>535</v>
      </c>
      <c r="E28" s="47">
        <f t="shared" si="2"/>
        <v>166408.43748879881</v>
      </c>
      <c r="F28" s="171">
        <f>E28/((1+'T3 Inputs'!$B$4)^(B28-B$2))</f>
        <v>28654.782934646919</v>
      </c>
    </row>
    <row r="29" spans="1:6" x14ac:dyDescent="0.2">
      <c r="A29" s="17">
        <f t="shared" si="0"/>
        <v>26</v>
      </c>
      <c r="B29" s="70">
        <f t="shared" si="1"/>
        <v>2045</v>
      </c>
      <c r="C29" s="8">
        <f>'T9 Reduced Bunker Fuel'!F29</f>
        <v>311.35162219675107</v>
      </c>
      <c r="D29" s="38">
        <f>'T3 Inputs'!$B$34</f>
        <v>535</v>
      </c>
      <c r="E29" s="47">
        <f t="shared" si="2"/>
        <v>166573.11787526181</v>
      </c>
      <c r="F29" s="171">
        <f>E29/((1+'T3 Inputs'!$B$4)^(B29-B$2))</f>
        <v>26806.673042040395</v>
      </c>
    </row>
    <row r="30" spans="1:6" x14ac:dyDescent="0.2">
      <c r="A30" s="17">
        <f t="shared" si="0"/>
        <v>27</v>
      </c>
      <c r="B30" s="70">
        <f t="shared" si="1"/>
        <v>2046</v>
      </c>
      <c r="C30" s="8">
        <f>'T9 Reduced Bunker Fuel'!F30</f>
        <v>311.83453691824866</v>
      </c>
      <c r="D30" s="38">
        <f>'T3 Inputs'!$B$34</f>
        <v>535</v>
      </c>
      <c r="E30" s="47">
        <f t="shared" si="2"/>
        <v>166831.47725126304</v>
      </c>
      <c r="F30" s="171">
        <f>E30/((1+'T3 Inputs'!$B$4)^(B30-B$2))</f>
        <v>25091.823281603534</v>
      </c>
    </row>
    <row r="31" spans="1:6" x14ac:dyDescent="0.2">
      <c r="A31" s="17">
        <f t="shared" si="0"/>
        <v>28</v>
      </c>
      <c r="B31" s="70">
        <f t="shared" si="1"/>
        <v>2047</v>
      </c>
      <c r="C31" s="8">
        <f>'T9 Reduced Bunker Fuel'!F31</f>
        <v>312.49605457307132</v>
      </c>
      <c r="D31" s="38">
        <f>'T3 Inputs'!$B$34</f>
        <v>535</v>
      </c>
      <c r="E31" s="47">
        <f t="shared" si="2"/>
        <v>167185.38919659317</v>
      </c>
      <c r="F31" s="171">
        <f>E31/((1+'T3 Inputs'!$B$4)^(B31-B$2))</f>
        <v>23500.048991763266</v>
      </c>
    </row>
    <row r="32" spans="1:6" x14ac:dyDescent="0.2">
      <c r="A32" s="17">
        <f t="shared" si="0"/>
        <v>29</v>
      </c>
      <c r="B32" s="70">
        <f t="shared" si="1"/>
        <v>2048</v>
      </c>
      <c r="C32" s="8">
        <f>'T9 Reduced Bunker Fuel'!F32</f>
        <v>313.33974721988579</v>
      </c>
      <c r="D32" s="38">
        <f>'T3 Inputs'!$B$34</f>
        <v>535</v>
      </c>
      <c r="E32" s="47">
        <f t="shared" si="2"/>
        <v>167636.76476263889</v>
      </c>
      <c r="F32" s="171">
        <f>E32/((1+'T3 Inputs'!$B$4)^(B32-B$2))</f>
        <v>22021.958515989994</v>
      </c>
    </row>
    <row r="33" spans="1:6" x14ac:dyDescent="0.2">
      <c r="A33" s="17">
        <f t="shared" si="0"/>
        <v>30</v>
      </c>
      <c r="B33" s="70">
        <f t="shared" si="1"/>
        <v>2049</v>
      </c>
      <c r="C33" s="8">
        <f>'T9 Reduced Bunker Fuel'!F33</f>
        <v>314.36925835853174</v>
      </c>
      <c r="D33" s="38">
        <f>'T3 Inputs'!$B$34</f>
        <v>535</v>
      </c>
      <c r="E33" s="47">
        <f t="shared" si="2"/>
        <v>168187.55322181448</v>
      </c>
      <c r="F33" s="171">
        <f>E33/((1+'T3 Inputs'!$B$4)^(B33-B$2))</f>
        <v>20648.891596293372</v>
      </c>
    </row>
    <row r="34" spans="1:6" ht="13.5" thickBot="1" x14ac:dyDescent="0.25">
      <c r="A34" s="598" t="s">
        <v>0</v>
      </c>
      <c r="B34" s="599"/>
      <c r="C34" s="102">
        <f>SUM(C3:C33)</f>
        <v>9267.0898729670698</v>
      </c>
      <c r="D34" s="172"/>
      <c r="E34" s="173">
        <f>SUM(E3:E33)</f>
        <v>4957893.0820373828</v>
      </c>
      <c r="F34" s="174">
        <f>SUM(F3:F33)</f>
        <v>1884822.5311934329</v>
      </c>
    </row>
    <row r="36" spans="1:6" ht="13.5" thickBot="1" x14ac:dyDescent="0.25"/>
    <row r="37" spans="1:6" ht="48" x14ac:dyDescent="0.2">
      <c r="A37" s="218" t="s">
        <v>130</v>
      </c>
      <c r="B37" s="101" t="s">
        <v>2</v>
      </c>
      <c r="C37" s="101" t="s">
        <v>116</v>
      </c>
      <c r="D37" s="101" t="s">
        <v>96</v>
      </c>
      <c r="E37" s="163" t="s">
        <v>43</v>
      </c>
      <c r="F37" s="156" t="s">
        <v>97</v>
      </c>
    </row>
    <row r="38" spans="1:6" x14ac:dyDescent="0.2">
      <c r="A38" s="17">
        <f t="shared" ref="A38:C69" si="3">A2</f>
        <v>-1</v>
      </c>
      <c r="B38" s="71">
        <f t="shared" si="3"/>
        <v>2018</v>
      </c>
      <c r="C38" s="316">
        <f t="shared" si="3"/>
        <v>0</v>
      </c>
      <c r="D38" s="316">
        <f t="shared" ref="D38:D69" si="4">D2</f>
        <v>535</v>
      </c>
      <c r="E38" s="316">
        <f t="shared" ref="E38:E70" si="5">ROUND(E2,-3)</f>
        <v>0</v>
      </c>
      <c r="F38" s="317">
        <f t="shared" ref="F38:F70" si="6">ROUND(F2,-3)</f>
        <v>0</v>
      </c>
    </row>
    <row r="39" spans="1:6" x14ac:dyDescent="0.2">
      <c r="A39" s="17">
        <f t="shared" si="3"/>
        <v>0</v>
      </c>
      <c r="B39" s="70">
        <f t="shared" si="3"/>
        <v>2019</v>
      </c>
      <c r="C39" s="316">
        <f t="shared" si="3"/>
        <v>0</v>
      </c>
      <c r="D39" s="316">
        <f t="shared" si="4"/>
        <v>535</v>
      </c>
      <c r="E39" s="316">
        <f t="shared" si="5"/>
        <v>0</v>
      </c>
      <c r="F39" s="317">
        <f t="shared" si="6"/>
        <v>0</v>
      </c>
    </row>
    <row r="40" spans="1:6" x14ac:dyDescent="0.2">
      <c r="A40" s="17">
        <f t="shared" si="3"/>
        <v>1</v>
      </c>
      <c r="B40" s="70">
        <f t="shared" si="3"/>
        <v>2020</v>
      </c>
      <c r="C40" s="316">
        <f t="shared" si="3"/>
        <v>272.16000357148863</v>
      </c>
      <c r="D40" s="316">
        <f t="shared" si="4"/>
        <v>535</v>
      </c>
      <c r="E40" s="316">
        <f t="shared" si="5"/>
        <v>146000</v>
      </c>
      <c r="F40" s="317">
        <f t="shared" si="6"/>
        <v>127000</v>
      </c>
    </row>
    <row r="41" spans="1:6" x14ac:dyDescent="0.2">
      <c r="A41" s="17">
        <f t="shared" si="3"/>
        <v>2</v>
      </c>
      <c r="B41" s="70">
        <f t="shared" si="3"/>
        <v>2021</v>
      </c>
      <c r="C41" s="316">
        <f t="shared" si="3"/>
        <v>277.6032036429184</v>
      </c>
      <c r="D41" s="316">
        <f t="shared" si="4"/>
        <v>535</v>
      </c>
      <c r="E41" s="47">
        <f t="shared" si="5"/>
        <v>149000</v>
      </c>
      <c r="F41" s="171">
        <f t="shared" si="6"/>
        <v>121000</v>
      </c>
    </row>
    <row r="42" spans="1:6" x14ac:dyDescent="0.2">
      <c r="A42" s="17">
        <f t="shared" si="3"/>
        <v>3</v>
      </c>
      <c r="B42" s="70">
        <f t="shared" si="3"/>
        <v>2022</v>
      </c>
      <c r="C42" s="316">
        <f t="shared" si="3"/>
        <v>283.15526771577674</v>
      </c>
      <c r="D42" s="316">
        <f t="shared" si="4"/>
        <v>535</v>
      </c>
      <c r="E42" s="47">
        <f t="shared" si="5"/>
        <v>151000</v>
      </c>
      <c r="F42" s="171">
        <f t="shared" si="6"/>
        <v>116000</v>
      </c>
    </row>
    <row r="43" spans="1:6" x14ac:dyDescent="0.2">
      <c r="A43" s="17">
        <f t="shared" si="3"/>
        <v>4</v>
      </c>
      <c r="B43" s="70">
        <f t="shared" si="3"/>
        <v>2023</v>
      </c>
      <c r="C43" s="316">
        <f t="shared" si="3"/>
        <v>288.81837307009226</v>
      </c>
      <c r="D43" s="316">
        <f t="shared" si="4"/>
        <v>535</v>
      </c>
      <c r="E43" s="47">
        <f t="shared" si="5"/>
        <v>155000</v>
      </c>
      <c r="F43" s="171">
        <f t="shared" si="6"/>
        <v>110000</v>
      </c>
    </row>
    <row r="44" spans="1:6" x14ac:dyDescent="0.2">
      <c r="A44" s="17">
        <f t="shared" si="3"/>
        <v>5</v>
      </c>
      <c r="B44" s="70">
        <f t="shared" si="3"/>
        <v>2024</v>
      </c>
      <c r="C44" s="316">
        <f t="shared" si="3"/>
        <v>294.59474053149415</v>
      </c>
      <c r="D44" s="316">
        <f t="shared" si="4"/>
        <v>535</v>
      </c>
      <c r="E44" s="47">
        <f t="shared" si="5"/>
        <v>158000</v>
      </c>
      <c r="F44" s="171">
        <f t="shared" si="6"/>
        <v>105000</v>
      </c>
    </row>
    <row r="45" spans="1:6" x14ac:dyDescent="0.2">
      <c r="A45" s="17">
        <f t="shared" si="3"/>
        <v>6</v>
      </c>
      <c r="B45" s="70">
        <f t="shared" si="3"/>
        <v>2025</v>
      </c>
      <c r="C45" s="316">
        <f t="shared" si="3"/>
        <v>300.48663534212398</v>
      </c>
      <c r="D45" s="316">
        <f t="shared" si="4"/>
        <v>535</v>
      </c>
      <c r="E45" s="47">
        <f t="shared" si="5"/>
        <v>161000</v>
      </c>
      <c r="F45" s="171">
        <f t="shared" si="6"/>
        <v>100000</v>
      </c>
    </row>
    <row r="46" spans="1:6" x14ac:dyDescent="0.2">
      <c r="A46" s="17">
        <f t="shared" si="3"/>
        <v>7</v>
      </c>
      <c r="B46" s="70">
        <f t="shared" si="3"/>
        <v>2026</v>
      </c>
      <c r="C46" s="316">
        <f t="shared" si="3"/>
        <v>306.49636804896653</v>
      </c>
      <c r="D46" s="316">
        <f t="shared" si="4"/>
        <v>535</v>
      </c>
      <c r="E46" s="47">
        <f t="shared" si="5"/>
        <v>164000</v>
      </c>
      <c r="F46" s="171">
        <f t="shared" si="6"/>
        <v>95000</v>
      </c>
    </row>
    <row r="47" spans="1:6" x14ac:dyDescent="0.2">
      <c r="A47" s="17">
        <f t="shared" si="3"/>
        <v>8</v>
      </c>
      <c r="B47" s="70">
        <f t="shared" si="3"/>
        <v>2027</v>
      </c>
      <c r="C47" s="316">
        <f t="shared" si="3"/>
        <v>312.62629540994584</v>
      </c>
      <c r="D47" s="316">
        <f t="shared" si="4"/>
        <v>535</v>
      </c>
      <c r="E47" s="47">
        <f t="shared" si="5"/>
        <v>167000</v>
      </c>
      <c r="F47" s="171">
        <f t="shared" si="6"/>
        <v>91000</v>
      </c>
    </row>
    <row r="48" spans="1:6" x14ac:dyDescent="0.2">
      <c r="A48" s="17">
        <f t="shared" si="3"/>
        <v>9</v>
      </c>
      <c r="B48" s="70">
        <f t="shared" si="3"/>
        <v>2028</v>
      </c>
      <c r="C48" s="316">
        <f t="shared" si="3"/>
        <v>318.87882131814479</v>
      </c>
      <c r="D48" s="316">
        <f t="shared" si="4"/>
        <v>535</v>
      </c>
      <c r="E48" s="47">
        <f t="shared" si="5"/>
        <v>171000</v>
      </c>
      <c r="F48" s="171">
        <f t="shared" si="6"/>
        <v>87000</v>
      </c>
    </row>
    <row r="49" spans="1:6" x14ac:dyDescent="0.2">
      <c r="A49" s="17">
        <f t="shared" si="3"/>
        <v>10</v>
      </c>
      <c r="B49" s="70">
        <f t="shared" si="3"/>
        <v>2029</v>
      </c>
      <c r="C49" s="316">
        <f t="shared" si="3"/>
        <v>325.25639774450775</v>
      </c>
      <c r="D49" s="316">
        <f t="shared" si="4"/>
        <v>535</v>
      </c>
      <c r="E49" s="47">
        <f t="shared" si="5"/>
        <v>174000</v>
      </c>
      <c r="F49" s="171">
        <f t="shared" si="6"/>
        <v>83000</v>
      </c>
    </row>
    <row r="50" spans="1:6" x14ac:dyDescent="0.2">
      <c r="A50" s="17">
        <f t="shared" si="3"/>
        <v>11</v>
      </c>
      <c r="B50" s="70">
        <f t="shared" si="3"/>
        <v>2030</v>
      </c>
      <c r="C50" s="316">
        <f t="shared" si="3"/>
        <v>323.31429375463688</v>
      </c>
      <c r="D50" s="316">
        <f t="shared" si="4"/>
        <v>535</v>
      </c>
      <c r="E50" s="47">
        <f t="shared" si="5"/>
        <v>173000</v>
      </c>
      <c r="F50" s="171">
        <f t="shared" si="6"/>
        <v>77000</v>
      </c>
    </row>
    <row r="51" spans="1:6" x14ac:dyDescent="0.2">
      <c r="A51" s="17">
        <f t="shared" si="3"/>
        <v>12</v>
      </c>
      <c r="B51" s="70">
        <f t="shared" si="3"/>
        <v>2031</v>
      </c>
      <c r="C51" s="316">
        <f t="shared" si="3"/>
        <v>321.50229232386374</v>
      </c>
      <c r="D51" s="316">
        <f t="shared" si="4"/>
        <v>535</v>
      </c>
      <c r="E51" s="47">
        <f t="shared" si="5"/>
        <v>172000</v>
      </c>
      <c r="F51" s="171">
        <f t="shared" si="6"/>
        <v>71000</v>
      </c>
    </row>
    <row r="52" spans="1:6" x14ac:dyDescent="0.2">
      <c r="A52" s="17">
        <f t="shared" si="3"/>
        <v>13</v>
      </c>
      <c r="B52" s="70">
        <f t="shared" si="3"/>
        <v>2032</v>
      </c>
      <c r="C52" s="316">
        <f t="shared" si="3"/>
        <v>319.82299550337058</v>
      </c>
      <c r="D52" s="316">
        <f t="shared" si="4"/>
        <v>535</v>
      </c>
      <c r="E52" s="47">
        <f t="shared" si="5"/>
        <v>171000</v>
      </c>
      <c r="F52" s="171">
        <f t="shared" si="6"/>
        <v>66000</v>
      </c>
    </row>
    <row r="53" spans="1:6" x14ac:dyDescent="0.2">
      <c r="A53" s="17">
        <f t="shared" si="3"/>
        <v>14</v>
      </c>
      <c r="B53" s="70">
        <f t="shared" si="3"/>
        <v>2033</v>
      </c>
      <c r="C53" s="316">
        <f t="shared" si="3"/>
        <v>318.27905738536271</v>
      </c>
      <c r="D53" s="316">
        <f t="shared" si="4"/>
        <v>535</v>
      </c>
      <c r="E53" s="47">
        <f t="shared" si="5"/>
        <v>170000</v>
      </c>
      <c r="F53" s="171">
        <f t="shared" si="6"/>
        <v>62000</v>
      </c>
    </row>
    <row r="54" spans="1:6" x14ac:dyDescent="0.2">
      <c r="A54" s="17">
        <f t="shared" si="3"/>
        <v>15</v>
      </c>
      <c r="B54" s="70">
        <f t="shared" si="3"/>
        <v>2034</v>
      </c>
      <c r="C54" s="316">
        <f t="shared" si="3"/>
        <v>316.87318514388988</v>
      </c>
      <c r="D54" s="316">
        <f t="shared" si="4"/>
        <v>535</v>
      </c>
      <c r="E54" s="47">
        <f t="shared" si="5"/>
        <v>170000</v>
      </c>
      <c r="F54" s="171">
        <f t="shared" si="6"/>
        <v>57000</v>
      </c>
    </row>
    <row r="55" spans="1:6" x14ac:dyDescent="0.2">
      <c r="A55" s="17">
        <f t="shared" si="3"/>
        <v>16</v>
      </c>
      <c r="B55" s="70">
        <f t="shared" si="3"/>
        <v>2035</v>
      </c>
      <c r="C55" s="316">
        <f t="shared" si="3"/>
        <v>315.60814009648277</v>
      </c>
      <c r="D55" s="316">
        <f t="shared" si="4"/>
        <v>535</v>
      </c>
      <c r="E55" s="47">
        <f t="shared" si="5"/>
        <v>169000</v>
      </c>
      <c r="F55" s="171">
        <f t="shared" si="6"/>
        <v>53000</v>
      </c>
    </row>
    <row r="56" spans="1:6" x14ac:dyDescent="0.2">
      <c r="A56" s="17">
        <f t="shared" si="3"/>
        <v>17</v>
      </c>
      <c r="B56" s="70">
        <f t="shared" si="3"/>
        <v>2036</v>
      </c>
      <c r="C56" s="316">
        <f t="shared" si="3"/>
        <v>314.48673878702283</v>
      </c>
      <c r="D56" s="316">
        <f t="shared" si="4"/>
        <v>535</v>
      </c>
      <c r="E56" s="47">
        <f t="shared" si="5"/>
        <v>168000</v>
      </c>
      <c r="F56" s="171">
        <f t="shared" si="6"/>
        <v>50000</v>
      </c>
    </row>
    <row r="57" spans="1:6" x14ac:dyDescent="0.2">
      <c r="A57" s="17">
        <f t="shared" si="3"/>
        <v>18</v>
      </c>
      <c r="B57" s="70">
        <f t="shared" si="3"/>
        <v>2037</v>
      </c>
      <c r="C57" s="316">
        <f t="shared" si="3"/>
        <v>313.5118540902688</v>
      </c>
      <c r="D57" s="316">
        <f t="shared" si="4"/>
        <v>535</v>
      </c>
      <c r="E57" s="47">
        <f t="shared" si="5"/>
        <v>168000</v>
      </c>
      <c r="F57" s="171">
        <f t="shared" si="6"/>
        <v>46000</v>
      </c>
    </row>
    <row r="58" spans="1:6" x14ac:dyDescent="0.2">
      <c r="A58" s="17">
        <f t="shared" si="3"/>
        <v>19</v>
      </c>
      <c r="B58" s="70">
        <f t="shared" si="3"/>
        <v>2038</v>
      </c>
      <c r="C58" s="316">
        <f t="shared" si="3"/>
        <v>312.68641633847506</v>
      </c>
      <c r="D58" s="316">
        <f t="shared" si="4"/>
        <v>535</v>
      </c>
      <c r="E58" s="47">
        <f t="shared" si="5"/>
        <v>167000</v>
      </c>
      <c r="F58" s="171">
        <f t="shared" si="6"/>
        <v>43000</v>
      </c>
    </row>
    <row r="59" spans="1:6" x14ac:dyDescent="0.2">
      <c r="A59" s="17">
        <f t="shared" si="3"/>
        <v>20</v>
      </c>
      <c r="B59" s="70">
        <f t="shared" si="3"/>
        <v>2039</v>
      </c>
      <c r="C59" s="316">
        <f t="shared" si="3"/>
        <v>312.01341447054057</v>
      </c>
      <c r="D59" s="316">
        <f t="shared" si="4"/>
        <v>535</v>
      </c>
      <c r="E59" s="47">
        <f t="shared" si="5"/>
        <v>167000</v>
      </c>
      <c r="F59" s="171">
        <f t="shared" si="6"/>
        <v>40000</v>
      </c>
    </row>
    <row r="60" spans="1:6" x14ac:dyDescent="0.2">
      <c r="A60" s="17">
        <f t="shared" si="3"/>
        <v>21</v>
      </c>
      <c r="B60" s="70">
        <f t="shared" si="3"/>
        <v>2040</v>
      </c>
      <c r="C60" s="316">
        <f t="shared" si="3"/>
        <v>311.49589720414252</v>
      </c>
      <c r="D60" s="316">
        <f t="shared" si="4"/>
        <v>535</v>
      </c>
      <c r="E60" s="47">
        <f t="shared" si="5"/>
        <v>167000</v>
      </c>
      <c r="F60" s="171">
        <f t="shared" si="6"/>
        <v>38000</v>
      </c>
    </row>
    <row r="61" spans="1:6" x14ac:dyDescent="0.2">
      <c r="A61" s="17">
        <f t="shared" si="3"/>
        <v>22</v>
      </c>
      <c r="B61" s="70">
        <f t="shared" si="3"/>
        <v>2041</v>
      </c>
      <c r="C61" s="316">
        <f t="shared" si="3"/>
        <v>311.13697423131185</v>
      </c>
      <c r="D61" s="316">
        <f t="shared" si="4"/>
        <v>535</v>
      </c>
      <c r="E61" s="47">
        <f t="shared" si="5"/>
        <v>166000</v>
      </c>
      <c r="F61" s="171">
        <f t="shared" si="6"/>
        <v>35000</v>
      </c>
    </row>
    <row r="62" spans="1:6" x14ac:dyDescent="0.2">
      <c r="A62" s="17">
        <f t="shared" si="3"/>
        <v>23</v>
      </c>
      <c r="B62" s="70">
        <f t="shared" si="3"/>
        <v>2042</v>
      </c>
      <c r="C62" s="316">
        <f t="shared" si="3"/>
        <v>310.93981743791971</v>
      </c>
      <c r="D62" s="316">
        <f t="shared" si="4"/>
        <v>535</v>
      </c>
      <c r="E62" s="47">
        <f t="shared" si="5"/>
        <v>166000</v>
      </c>
      <c r="F62" s="171">
        <f t="shared" si="6"/>
        <v>33000</v>
      </c>
    </row>
    <row r="63" spans="1:6" x14ac:dyDescent="0.2">
      <c r="A63" s="17">
        <f t="shared" si="3"/>
        <v>24</v>
      </c>
      <c r="B63" s="70">
        <f t="shared" si="3"/>
        <v>2043</v>
      </c>
      <c r="C63" s="316">
        <f t="shared" si="3"/>
        <v>310.90766214755502</v>
      </c>
      <c r="D63" s="316">
        <f t="shared" si="4"/>
        <v>535</v>
      </c>
      <c r="E63" s="47">
        <f t="shared" si="5"/>
        <v>166000</v>
      </c>
      <c r="F63" s="171">
        <f t="shared" si="6"/>
        <v>31000</v>
      </c>
    </row>
    <row r="64" spans="1:6" x14ac:dyDescent="0.2">
      <c r="A64" s="17">
        <f t="shared" si="3"/>
        <v>25</v>
      </c>
      <c r="B64" s="70">
        <f t="shared" si="3"/>
        <v>2044</v>
      </c>
      <c r="C64" s="316">
        <f t="shared" si="3"/>
        <v>311.04380839027817</v>
      </c>
      <c r="D64" s="316">
        <f t="shared" si="4"/>
        <v>535</v>
      </c>
      <c r="E64" s="47">
        <f t="shared" si="5"/>
        <v>166000</v>
      </c>
      <c r="F64" s="171">
        <f t="shared" si="6"/>
        <v>29000</v>
      </c>
    </row>
    <row r="65" spans="1:6" x14ac:dyDescent="0.2">
      <c r="A65" s="17">
        <f t="shared" si="3"/>
        <v>26</v>
      </c>
      <c r="B65" s="70">
        <f t="shared" si="3"/>
        <v>2045</v>
      </c>
      <c r="C65" s="316">
        <f t="shared" si="3"/>
        <v>311.35162219675107</v>
      </c>
      <c r="D65" s="316">
        <f t="shared" si="4"/>
        <v>535</v>
      </c>
      <c r="E65" s="47">
        <f t="shared" si="5"/>
        <v>167000</v>
      </c>
      <c r="F65" s="171">
        <f t="shared" si="6"/>
        <v>27000</v>
      </c>
    </row>
    <row r="66" spans="1:6" x14ac:dyDescent="0.2">
      <c r="A66" s="17">
        <f t="shared" si="3"/>
        <v>27</v>
      </c>
      <c r="B66" s="70">
        <f t="shared" si="3"/>
        <v>2046</v>
      </c>
      <c r="C66" s="316">
        <f t="shared" si="3"/>
        <v>311.83453691824866</v>
      </c>
      <c r="D66" s="316">
        <f t="shared" si="4"/>
        <v>535</v>
      </c>
      <c r="E66" s="47">
        <f t="shared" si="5"/>
        <v>167000</v>
      </c>
      <c r="F66" s="171">
        <f t="shared" si="6"/>
        <v>25000</v>
      </c>
    </row>
    <row r="67" spans="1:6" x14ac:dyDescent="0.2">
      <c r="A67" s="17">
        <f t="shared" si="3"/>
        <v>28</v>
      </c>
      <c r="B67" s="70">
        <f t="shared" si="3"/>
        <v>2047</v>
      </c>
      <c r="C67" s="316">
        <f t="shared" si="3"/>
        <v>312.49605457307132</v>
      </c>
      <c r="D67" s="316">
        <f t="shared" si="4"/>
        <v>535</v>
      </c>
      <c r="E67" s="47">
        <f t="shared" si="5"/>
        <v>167000</v>
      </c>
      <c r="F67" s="171">
        <f t="shared" si="6"/>
        <v>24000</v>
      </c>
    </row>
    <row r="68" spans="1:6" x14ac:dyDescent="0.2">
      <c r="A68" s="17">
        <f t="shared" si="3"/>
        <v>29</v>
      </c>
      <c r="B68" s="70">
        <f t="shared" si="3"/>
        <v>2048</v>
      </c>
      <c r="C68" s="316">
        <f t="shared" si="3"/>
        <v>313.33974721988579</v>
      </c>
      <c r="D68" s="316">
        <f t="shared" si="4"/>
        <v>535</v>
      </c>
      <c r="E68" s="47">
        <f t="shared" si="5"/>
        <v>168000</v>
      </c>
      <c r="F68" s="171">
        <f t="shared" si="6"/>
        <v>22000</v>
      </c>
    </row>
    <row r="69" spans="1:6" x14ac:dyDescent="0.2">
      <c r="A69" s="17">
        <f t="shared" si="3"/>
        <v>30</v>
      </c>
      <c r="B69" s="70">
        <f t="shared" si="3"/>
        <v>2049</v>
      </c>
      <c r="C69" s="316">
        <f t="shared" si="3"/>
        <v>314.36925835853174</v>
      </c>
      <c r="D69" s="316">
        <f t="shared" si="4"/>
        <v>535</v>
      </c>
      <c r="E69" s="47">
        <f t="shared" si="5"/>
        <v>168000</v>
      </c>
      <c r="F69" s="171">
        <f t="shared" si="6"/>
        <v>21000</v>
      </c>
    </row>
    <row r="70" spans="1:6" ht="13.5" thickBot="1" x14ac:dyDescent="0.25">
      <c r="A70" s="598" t="str">
        <f>A34</f>
        <v>Total</v>
      </c>
      <c r="B70" s="599">
        <f>B34</f>
        <v>0</v>
      </c>
      <c r="C70" s="318">
        <f>ROUND(C34,-3)</f>
        <v>9000</v>
      </c>
      <c r="D70" s="319"/>
      <c r="E70" s="173">
        <f t="shared" si="5"/>
        <v>4958000</v>
      </c>
      <c r="F70" s="174">
        <f t="shared" si="6"/>
        <v>1885000</v>
      </c>
    </row>
  </sheetData>
  <mergeCells count="2">
    <mergeCell ref="A34:B34"/>
    <mergeCell ref="A70:B70"/>
  </mergeCells>
  <pageMargins left="0.7" right="0.7" top="0.75" bottom="0.75" header="0.3" footer="0.3"/>
  <pageSetup orientation="portrait" verticalDpi="0" r:id="rId1"/>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heetViews>
  <sheetFormatPr defaultRowHeight="12.75" x14ac:dyDescent="0.2"/>
  <cols>
    <col min="1" max="2" width="8.7109375" style="292" customWidth="1"/>
    <col min="3" max="7" width="15.7109375" style="1" customWidth="1"/>
    <col min="8" max="16384" width="9.140625" style="1"/>
  </cols>
  <sheetData>
    <row r="1" spans="1:7" s="322" customFormat="1" ht="51" x14ac:dyDescent="0.2">
      <c r="A1" s="218" t="s">
        <v>130</v>
      </c>
      <c r="B1" s="162" t="s">
        <v>2</v>
      </c>
      <c r="C1" s="162" t="s">
        <v>110</v>
      </c>
      <c r="D1" s="163" t="s">
        <v>109</v>
      </c>
      <c r="E1" s="163" t="s">
        <v>106</v>
      </c>
      <c r="F1" s="163" t="s">
        <v>107</v>
      </c>
      <c r="G1" s="164" t="s">
        <v>108</v>
      </c>
    </row>
    <row r="2" spans="1:7" x14ac:dyDescent="0.2">
      <c r="A2" s="293">
        <v>-1</v>
      </c>
      <c r="B2" s="320">
        <v>2018</v>
      </c>
      <c r="C2" s="42">
        <f>'T8 Crane Reliability'!E4</f>
        <v>0</v>
      </c>
      <c r="D2" s="57">
        <f>'T3 Inputs'!$B$35</f>
        <v>24</v>
      </c>
      <c r="E2" s="41">
        <f>'T3 Inputs'!$B$39</f>
        <v>37.68</v>
      </c>
      <c r="F2" s="42">
        <f>C2*D2*E2</f>
        <v>0</v>
      </c>
      <c r="G2" s="165">
        <f>F2/((1+'T3 Inputs'!$B$4)^(B2-B$2))</f>
        <v>0</v>
      </c>
    </row>
    <row r="3" spans="1:7" x14ac:dyDescent="0.2">
      <c r="A3" s="293">
        <v>0</v>
      </c>
      <c r="B3" s="321">
        <f>B2+1</f>
        <v>2019</v>
      </c>
      <c r="C3" s="42">
        <f>'T8 Crane Reliability'!E5</f>
        <v>0</v>
      </c>
      <c r="D3" s="57">
        <f>'T3 Inputs'!$B$35</f>
        <v>24</v>
      </c>
      <c r="E3" s="41">
        <f>'T3 Inputs'!$B$39</f>
        <v>37.68</v>
      </c>
      <c r="F3" s="42">
        <f>C3*D3*E3</f>
        <v>0</v>
      </c>
      <c r="G3" s="165">
        <f>F3/((1+'T3 Inputs'!$B$4)^(B3-B$2))</f>
        <v>0</v>
      </c>
    </row>
    <row r="4" spans="1:7" x14ac:dyDescent="0.2">
      <c r="A4" s="293">
        <v>1</v>
      </c>
      <c r="B4" s="321">
        <f t="shared" ref="B4:B33" si="0">B3+1</f>
        <v>2020</v>
      </c>
      <c r="C4" s="42">
        <f>'T8 Crane Reliability'!E6</f>
        <v>399.5136</v>
      </c>
      <c r="D4" s="4">
        <f>'T3 Inputs'!$B$35</f>
        <v>24</v>
      </c>
      <c r="E4" s="41">
        <f>'T3 Inputs'!$B$39</f>
        <v>37.68</v>
      </c>
      <c r="F4" s="42">
        <f>C4*D4*E4</f>
        <v>361288.138752</v>
      </c>
      <c r="G4" s="165">
        <f>F4/((1+'T3 Inputs'!$B$4)^(B4-B$2))</f>
        <v>315563.05245174252</v>
      </c>
    </row>
    <row r="5" spans="1:7" x14ac:dyDescent="0.2">
      <c r="A5" s="293">
        <f>A4+1</f>
        <v>2</v>
      </c>
      <c r="B5" s="321">
        <f t="shared" si="0"/>
        <v>2021</v>
      </c>
      <c r="C5" s="13">
        <f>'T8 Crane Reliability'!E7</f>
        <v>407.503872</v>
      </c>
      <c r="D5" s="4">
        <f>'T3 Inputs'!$B$35</f>
        <v>24</v>
      </c>
      <c r="E5" s="41">
        <f>'T3 Inputs'!$B$39</f>
        <v>37.68</v>
      </c>
      <c r="F5" s="28">
        <f t="shared" ref="F5:F33" si="1">C5*D5*E5</f>
        <v>368513.90152704</v>
      </c>
      <c r="G5" s="31">
        <f>F5/((1+'T3 Inputs'!$B$4)^(B5-B$2))</f>
        <v>300817.11542128725</v>
      </c>
    </row>
    <row r="6" spans="1:7" x14ac:dyDescent="0.2">
      <c r="A6" s="293">
        <f t="shared" ref="A6:A33" si="2">A5+1</f>
        <v>3</v>
      </c>
      <c r="B6" s="321">
        <f t="shared" si="0"/>
        <v>2022</v>
      </c>
      <c r="C6" s="13">
        <f>'T8 Crane Reliability'!E8</f>
        <v>415.65394944000002</v>
      </c>
      <c r="D6" s="4">
        <f>'T3 Inputs'!$B$35</f>
        <v>24</v>
      </c>
      <c r="E6" s="41">
        <f>'T3 Inputs'!$B$39</f>
        <v>37.68</v>
      </c>
      <c r="F6" s="28">
        <f t="shared" si="1"/>
        <v>375884.17955758085</v>
      </c>
      <c r="G6" s="31">
        <f>F6/((1+'T3 Inputs'!$B$4)^(B6-B$2))</f>
        <v>286760.24086889072</v>
      </c>
    </row>
    <row r="7" spans="1:7" x14ac:dyDescent="0.2">
      <c r="A7" s="293">
        <f t="shared" si="2"/>
        <v>4</v>
      </c>
      <c r="B7" s="321">
        <f t="shared" si="0"/>
        <v>2023</v>
      </c>
      <c r="C7" s="13">
        <f>'T8 Crane Reliability'!E9</f>
        <v>423.96702842880001</v>
      </c>
      <c r="D7" s="4">
        <f>'T3 Inputs'!$B$35</f>
        <v>24</v>
      </c>
      <c r="E7" s="41">
        <f>'T3 Inputs'!$B$39</f>
        <v>37.68</v>
      </c>
      <c r="F7" s="28">
        <f t="shared" si="1"/>
        <v>383401.86314873246</v>
      </c>
      <c r="G7" s="31">
        <f>F7/((1+'T3 Inputs'!$B$4)^(B7-B$2))</f>
        <v>273360.22961333499</v>
      </c>
    </row>
    <row r="8" spans="1:7" x14ac:dyDescent="0.2">
      <c r="A8" s="293">
        <f t="shared" si="2"/>
        <v>5</v>
      </c>
      <c r="B8" s="321">
        <f t="shared" si="0"/>
        <v>2024</v>
      </c>
      <c r="C8" s="13">
        <f>'T8 Crane Reliability'!E10</f>
        <v>432.446368997376</v>
      </c>
      <c r="D8" s="4">
        <f>'T3 Inputs'!$B$35</f>
        <v>24</v>
      </c>
      <c r="E8" s="41">
        <f>'T3 Inputs'!$B$39</f>
        <v>37.68</v>
      </c>
      <c r="F8" s="28">
        <f t="shared" si="1"/>
        <v>391069.90041170712</v>
      </c>
      <c r="G8" s="31">
        <f>F8/((1+'T3 Inputs'!$B$4)^(B8-B$2))</f>
        <v>260586.38710803902</v>
      </c>
    </row>
    <row r="9" spans="1:7" x14ac:dyDescent="0.2">
      <c r="A9" s="293">
        <f t="shared" si="2"/>
        <v>6</v>
      </c>
      <c r="B9" s="321">
        <f t="shared" si="0"/>
        <v>2025</v>
      </c>
      <c r="C9" s="13">
        <f>'T8 Crane Reliability'!E11</f>
        <v>441.09529637732351</v>
      </c>
      <c r="D9" s="4">
        <f>'T3 Inputs'!$B$35</f>
        <v>24</v>
      </c>
      <c r="E9" s="41">
        <f>'T3 Inputs'!$B$39</f>
        <v>37.68</v>
      </c>
      <c r="F9" s="28">
        <f t="shared" si="1"/>
        <v>398891.29841994122</v>
      </c>
      <c r="G9" s="31">
        <f>F9/((1+'T3 Inputs'!$B$4)^(B9-B$2))</f>
        <v>248409.45313102781</v>
      </c>
    </row>
    <row r="10" spans="1:7" x14ac:dyDescent="0.2">
      <c r="A10" s="293">
        <f t="shared" si="2"/>
        <v>7</v>
      </c>
      <c r="B10" s="321">
        <f t="shared" si="0"/>
        <v>2026</v>
      </c>
      <c r="C10" s="13">
        <f>'T8 Crane Reliability'!E12</f>
        <v>449.91720230487005</v>
      </c>
      <c r="D10" s="4">
        <f>'T3 Inputs'!$B$35</f>
        <v>24</v>
      </c>
      <c r="E10" s="41">
        <f>'T3 Inputs'!$B$39</f>
        <v>37.68</v>
      </c>
      <c r="F10" s="28">
        <f t="shared" si="1"/>
        <v>406869.1243883401</v>
      </c>
      <c r="G10" s="31">
        <f>F10/((1+'T3 Inputs'!$B$4)^(B10-B$2))</f>
        <v>236801.53476041908</v>
      </c>
    </row>
    <row r="11" spans="1:7" x14ac:dyDescent="0.2">
      <c r="A11" s="293">
        <f t="shared" si="2"/>
        <v>8</v>
      </c>
      <c r="B11" s="321">
        <f t="shared" si="0"/>
        <v>2027</v>
      </c>
      <c r="C11" s="13">
        <f>'T8 Crane Reliability'!E13</f>
        <v>458.91554635096747</v>
      </c>
      <c r="D11" s="4">
        <f>'T3 Inputs'!$B$35</f>
        <v>24</v>
      </c>
      <c r="E11" s="41">
        <f>'T3 Inputs'!$B$39</f>
        <v>37.68</v>
      </c>
      <c r="F11" s="28">
        <f t="shared" si="1"/>
        <v>415006.50687610696</v>
      </c>
      <c r="G11" s="31">
        <f>F11/((1+'T3 Inputs'!$B$4)^(B11-B$2))</f>
        <v>225736.04248189481</v>
      </c>
    </row>
    <row r="12" spans="1:7" x14ac:dyDescent="0.2">
      <c r="A12" s="293">
        <f t="shared" si="2"/>
        <v>9</v>
      </c>
      <c r="B12" s="321">
        <f t="shared" si="0"/>
        <v>2028</v>
      </c>
      <c r="C12" s="13">
        <f>'T8 Crane Reliability'!E14</f>
        <v>468.09385727798679</v>
      </c>
      <c r="D12" s="4">
        <f>'T3 Inputs'!$B$35</f>
        <v>24</v>
      </c>
      <c r="E12" s="41">
        <f>'T3 Inputs'!$B$39</f>
        <v>37.68</v>
      </c>
      <c r="F12" s="28">
        <f t="shared" si="1"/>
        <v>423306.63701362896</v>
      </c>
      <c r="G12" s="31">
        <f>F12/((1+'T3 Inputs'!$B$4)^(B12-B$2))</f>
        <v>215187.62928180621</v>
      </c>
    </row>
    <row r="13" spans="1:7" x14ac:dyDescent="0.2">
      <c r="A13" s="293">
        <f t="shared" si="2"/>
        <v>10</v>
      </c>
      <c r="B13" s="321">
        <f t="shared" si="0"/>
        <v>2029</v>
      </c>
      <c r="C13" s="13">
        <f>'T8 Crane Reliability'!E15</f>
        <v>477.45573442354657</v>
      </c>
      <c r="D13" s="4">
        <f>'T3 Inputs'!$B$35</f>
        <v>24</v>
      </c>
      <c r="E13" s="41">
        <f>'T3 Inputs'!$B$39</f>
        <v>37.68</v>
      </c>
      <c r="F13" s="28">
        <f t="shared" si="1"/>
        <v>431772.76975390164</v>
      </c>
      <c r="G13" s="31">
        <f>F13/((1+'T3 Inputs'!$B$4)^(B13-B$2))</f>
        <v>205132.13258639473</v>
      </c>
    </row>
    <row r="14" spans="1:7" x14ac:dyDescent="0.2">
      <c r="A14" s="293">
        <f t="shared" si="2"/>
        <v>11</v>
      </c>
      <c r="B14" s="321">
        <f t="shared" si="0"/>
        <v>2030</v>
      </c>
      <c r="C14" s="13">
        <f>'T8 Crane Reliability'!E16</f>
        <v>474.60484911201752</v>
      </c>
      <c r="D14" s="4">
        <f>'T3 Inputs'!$B$35</f>
        <v>24</v>
      </c>
      <c r="E14" s="41">
        <f>'T3 Inputs'!$B$39</f>
        <v>37.68</v>
      </c>
      <c r="F14" s="28">
        <f t="shared" si="1"/>
        <v>429194.65714897966</v>
      </c>
      <c r="G14" s="31">
        <f>F14/((1+'T3 Inputs'!$B$4)^(B14-B$2))</f>
        <v>190567.5606163741</v>
      </c>
    </row>
    <row r="15" spans="1:7" x14ac:dyDescent="0.2">
      <c r="A15" s="293">
        <f t="shared" si="2"/>
        <v>12</v>
      </c>
      <c r="B15" s="321">
        <f t="shared" si="0"/>
        <v>2031</v>
      </c>
      <c r="C15" s="13">
        <f>'T8 Crane Reliability'!E17</f>
        <v>471.94494609425772</v>
      </c>
      <c r="D15" s="4">
        <f>'T3 Inputs'!$B$35</f>
        <v>24</v>
      </c>
      <c r="E15" s="41">
        <f>'T3 Inputs'!$B$39</f>
        <v>37.68</v>
      </c>
      <c r="F15" s="28">
        <f t="shared" si="1"/>
        <v>426789.25365195912</v>
      </c>
      <c r="G15" s="31">
        <f>F15/((1+'T3 Inputs'!$B$4)^(B15-B$2))</f>
        <v>177102.36700644626</v>
      </c>
    </row>
    <row r="16" spans="1:7" x14ac:dyDescent="0.2">
      <c r="A16" s="293">
        <f t="shared" si="2"/>
        <v>13</v>
      </c>
      <c r="B16" s="321">
        <f t="shared" si="0"/>
        <v>2032</v>
      </c>
      <c r="C16" s="13">
        <f>'T8 Crane Reliability'!E18</f>
        <v>469.47984501614297</v>
      </c>
      <c r="D16" s="4">
        <f>'T3 Inputs'!$B$35</f>
        <v>24</v>
      </c>
      <c r="E16" s="41">
        <f>'T3 Inputs'!$B$39</f>
        <v>37.68</v>
      </c>
      <c r="F16" s="28">
        <f t="shared" si="1"/>
        <v>424560.01344499842</v>
      </c>
      <c r="G16" s="31">
        <f>F16/((1+'T3 Inputs'!$B$4)^(B16-B$2))</f>
        <v>164651.69306051766</v>
      </c>
    </row>
    <row r="17" spans="1:7" x14ac:dyDescent="0.2">
      <c r="A17" s="293">
        <f t="shared" si="2"/>
        <v>14</v>
      </c>
      <c r="B17" s="321">
        <f t="shared" si="0"/>
        <v>2033</v>
      </c>
      <c r="C17" s="13">
        <f>'T8 Crane Reliability'!E19</f>
        <v>467.21344191646585</v>
      </c>
      <c r="D17" s="4">
        <f>'T3 Inputs'!$B$35</f>
        <v>24</v>
      </c>
      <c r="E17" s="41">
        <f>'T3 Inputs'!$B$39</f>
        <v>37.68</v>
      </c>
      <c r="F17" s="28">
        <f t="shared" si="1"/>
        <v>422510.45979389839</v>
      </c>
      <c r="G17" s="31">
        <f>F17/((1+'T3 Inputs'!$B$4)^(B17-B$2))</f>
        <v>153137.2344095617</v>
      </c>
    </row>
    <row r="18" spans="1:7" x14ac:dyDescent="0.2">
      <c r="A18" s="293">
        <f t="shared" si="2"/>
        <v>15</v>
      </c>
      <c r="B18" s="321">
        <f t="shared" si="0"/>
        <v>2034</v>
      </c>
      <c r="C18" s="13">
        <f>'T8 Crane Reliability'!E20</f>
        <v>465.14971075479525</v>
      </c>
      <c r="D18" s="4">
        <f>'T3 Inputs'!$B$35</f>
        <v>24</v>
      </c>
      <c r="E18" s="41">
        <f>'T3 Inputs'!$B$39</f>
        <v>37.68</v>
      </c>
      <c r="F18" s="28">
        <f t="shared" si="1"/>
        <v>420644.18642977643</v>
      </c>
      <c r="G18" s="31">
        <f>F18/((1+'T3 Inputs'!$B$4)^(B18-B$2))</f>
        <v>142486.73930576746</v>
      </c>
    </row>
    <row r="19" spans="1:7" x14ac:dyDescent="0.2">
      <c r="A19" s="293">
        <f t="shared" si="2"/>
        <v>16</v>
      </c>
      <c r="B19" s="321">
        <f t="shared" si="0"/>
        <v>2035</v>
      </c>
      <c r="C19" s="13">
        <f>'T8 Crane Reliability'!E21</f>
        <v>463.29270496989113</v>
      </c>
      <c r="D19" s="4">
        <f>'T3 Inputs'!$B$35</f>
        <v>24</v>
      </c>
      <c r="E19" s="41">
        <f>'T3 Inputs'!$B$39</f>
        <v>37.68</v>
      </c>
      <c r="F19" s="28">
        <f t="shared" si="1"/>
        <v>418964.85895837197</v>
      </c>
      <c r="G19" s="31">
        <f>F19/((1+'T3 Inputs'!$B$4)^(B19-B$2))</f>
        <v>132633.5448506285</v>
      </c>
    </row>
    <row r="20" spans="1:7" x14ac:dyDescent="0.2">
      <c r="A20" s="293">
        <f t="shared" si="2"/>
        <v>17</v>
      </c>
      <c r="B20" s="321">
        <f t="shared" si="0"/>
        <v>2036</v>
      </c>
      <c r="C20" s="13">
        <f>'T8 Crane Reliability'!E22</f>
        <v>461.64655906928897</v>
      </c>
      <c r="D20" s="4">
        <f>'T3 Inputs'!$B$35</f>
        <v>24</v>
      </c>
      <c r="E20" s="41">
        <f>'T3 Inputs'!$B$39</f>
        <v>37.68</v>
      </c>
      <c r="F20" s="28">
        <f t="shared" si="1"/>
        <v>417476.21629753942</v>
      </c>
      <c r="G20" s="31">
        <f>F20/((1+'T3 Inputs'!$B$4)^(B20-B$2))</f>
        <v>123516.14832491266</v>
      </c>
    </row>
    <row r="21" spans="1:7" x14ac:dyDescent="0.2">
      <c r="A21" s="293">
        <f t="shared" si="2"/>
        <v>18</v>
      </c>
      <c r="B21" s="321">
        <f t="shared" si="0"/>
        <v>2037</v>
      </c>
      <c r="C21" s="13">
        <f>'T8 Crane Reliability'!E23</f>
        <v>460.21549025067475</v>
      </c>
      <c r="D21" s="4">
        <f>'T3 Inputs'!$B$35</f>
        <v>24</v>
      </c>
      <c r="E21" s="41">
        <f>'T3 Inputs'!$B$39</f>
        <v>37.68</v>
      </c>
      <c r="F21" s="28">
        <f t="shared" si="1"/>
        <v>416182.07214349019</v>
      </c>
      <c r="G21" s="31">
        <f>F21/((1+'T3 Inputs'!$B$4)^(B21-B$2))</f>
        <v>115077.8109973934</v>
      </c>
    </row>
    <row r="22" spans="1:7" x14ac:dyDescent="0.2">
      <c r="A22" s="293">
        <f t="shared" si="2"/>
        <v>19</v>
      </c>
      <c r="B22" s="321">
        <f t="shared" si="0"/>
        <v>2038</v>
      </c>
      <c r="C22" s="13">
        <f>'T8 Crane Reliability'!E24</f>
        <v>459.00380005568832</v>
      </c>
      <c r="D22" s="4">
        <f>'T3 Inputs'!$B$35</f>
        <v>24</v>
      </c>
      <c r="E22" s="41">
        <f>'T3 Inputs'!$B$39</f>
        <v>37.68</v>
      </c>
      <c r="F22" s="28">
        <f t="shared" si="1"/>
        <v>415086.31646636006</v>
      </c>
      <c r="G22" s="31">
        <f>F22/((1+'T3 Inputs'!$B$4)^(B22-B$2))</f>
        <v>107266.1919829187</v>
      </c>
    </row>
    <row r="23" spans="1:7" x14ac:dyDescent="0.2">
      <c r="A23" s="293">
        <f t="shared" si="2"/>
        <v>20</v>
      </c>
      <c r="B23" s="321">
        <f t="shared" si="0"/>
        <v>2039</v>
      </c>
      <c r="C23" s="13">
        <f>'T8 Crane Reliability'!E25</f>
        <v>458.01587605680209</v>
      </c>
      <c r="D23" s="4">
        <f>'T3 Inputs'!$B$35</f>
        <v>24</v>
      </c>
      <c r="E23" s="41">
        <f>'T3 Inputs'!$B$39</f>
        <v>37.68</v>
      </c>
      <c r="F23" s="28">
        <f t="shared" si="1"/>
        <v>414192.91703568731</v>
      </c>
      <c r="G23" s="31">
        <f>F23/((1+'T3 Inputs'!$B$4)^(B23-B$2))</f>
        <v>100033.00989993435</v>
      </c>
    </row>
    <row r="24" spans="1:7" x14ac:dyDescent="0.2">
      <c r="A24" s="293">
        <f t="shared" si="2"/>
        <v>21</v>
      </c>
      <c r="B24" s="321">
        <f t="shared" si="0"/>
        <v>2040</v>
      </c>
      <c r="C24" s="13">
        <f>'T8 Crane Reliability'!E26</f>
        <v>457.25619357793812</v>
      </c>
      <c r="D24" s="4">
        <f>'T3 Inputs'!$B$35</f>
        <v>24</v>
      </c>
      <c r="E24" s="41">
        <f>'T3 Inputs'!$B$39</f>
        <v>37.68</v>
      </c>
      <c r="F24" s="28">
        <f t="shared" si="1"/>
        <v>413505.92097640102</v>
      </c>
      <c r="G24" s="31">
        <f>F24/((1+'T3 Inputs'!$B$4)^(B24-B$2))</f>
        <v>93333.730243996804</v>
      </c>
    </row>
    <row r="25" spans="1:7" x14ac:dyDescent="0.2">
      <c r="A25" s="293">
        <f t="shared" si="2"/>
        <v>22</v>
      </c>
      <c r="B25" s="321">
        <f t="shared" si="0"/>
        <v>2041</v>
      </c>
      <c r="C25" s="13">
        <f>'T8 Crane Reliability'!E27</f>
        <v>456.72931744949688</v>
      </c>
      <c r="D25" s="4">
        <f>'T3 Inputs'!$B$35</f>
        <v>24</v>
      </c>
      <c r="E25" s="41">
        <f>'T3 Inputs'!$B$39</f>
        <v>37.68</v>
      </c>
      <c r="F25" s="28">
        <f t="shared" si="1"/>
        <v>413029.45635592903</v>
      </c>
      <c r="G25" s="31">
        <f>F25/((1+'T3 Inputs'!$B$4)^(B25-B$2))</f>
        <v>87127.276548050533</v>
      </c>
    </row>
    <row r="26" spans="1:7" x14ac:dyDescent="0.2">
      <c r="A26" s="293">
        <f t="shared" si="2"/>
        <v>23</v>
      </c>
      <c r="B26" s="321">
        <f t="shared" si="0"/>
        <v>2042</v>
      </c>
      <c r="C26" s="13">
        <f>'T8 Crane Reliability'!E28</f>
        <v>456.4399037984868</v>
      </c>
      <c r="D26" s="4">
        <f>'T3 Inputs'!$B$35</f>
        <v>24</v>
      </c>
      <c r="E26" s="41">
        <f>'T3 Inputs'!$B$39</f>
        <v>37.68</v>
      </c>
      <c r="F26" s="28">
        <f t="shared" si="1"/>
        <v>412767.73380304757</v>
      </c>
      <c r="G26" s="31">
        <f>F26/((1+'T3 Inputs'!$B$4)^(B26-B$2))</f>
        <v>81375.763543195368</v>
      </c>
    </row>
    <row r="27" spans="1:7" x14ac:dyDescent="0.2">
      <c r="A27" s="293">
        <f t="shared" si="2"/>
        <v>24</v>
      </c>
      <c r="B27" s="321">
        <f t="shared" si="0"/>
        <v>2043</v>
      </c>
      <c r="C27" s="13">
        <f>'T8 Crane Reliability'!E29</f>
        <v>456.39270187445652</v>
      </c>
      <c r="D27" s="4">
        <f>'T3 Inputs'!$B$35</f>
        <v>24</v>
      </c>
      <c r="E27" s="41">
        <f>'T3 Inputs'!$B$39</f>
        <v>37.68</v>
      </c>
      <c r="F27" s="28">
        <f t="shared" si="1"/>
        <v>412725.0481591085</v>
      </c>
      <c r="G27" s="31">
        <f>F27/((1+'T3 Inputs'!$B$4)^(B27-B$2))</f>
        <v>76044.250666142456</v>
      </c>
    </row>
    <row r="28" spans="1:7" x14ac:dyDescent="0.2">
      <c r="A28" s="293">
        <f t="shared" si="2"/>
        <v>25</v>
      </c>
      <c r="B28" s="321">
        <f t="shared" si="0"/>
        <v>2044</v>
      </c>
      <c r="C28" s="13">
        <f>'T8 Crane Reliability'!E30</f>
        <v>456.59255591194568</v>
      </c>
      <c r="D28" s="4">
        <f>'T3 Inputs'!$B$35</f>
        <v>24</v>
      </c>
      <c r="E28" s="41">
        <f>'T3 Inputs'!$B$39</f>
        <v>37.68</v>
      </c>
      <c r="F28" s="28">
        <f t="shared" si="1"/>
        <v>412905.78016229067</v>
      </c>
      <c r="G28" s="31">
        <f>F28/((1+'T3 Inputs'!$B$4)^(B28-B$2))</f>
        <v>71100.514382318433</v>
      </c>
    </row>
    <row r="29" spans="1:7" x14ac:dyDescent="0.2">
      <c r="A29" s="293">
        <f t="shared" si="2"/>
        <v>26</v>
      </c>
      <c r="B29" s="321">
        <f t="shared" si="0"/>
        <v>2045</v>
      </c>
      <c r="C29" s="13">
        <f>'T8 Crane Reliability'!E31</f>
        <v>457.04440703018457</v>
      </c>
      <c r="D29" s="4">
        <f>'T3 Inputs'!$B$35</f>
        <v>24</v>
      </c>
      <c r="E29" s="41">
        <f>'T3 Inputs'!$B$39</f>
        <v>37.68</v>
      </c>
      <c r="F29" s="28">
        <f t="shared" si="1"/>
        <v>413314.39816553652</v>
      </c>
      <c r="G29" s="31">
        <f>F29/((1+'T3 Inputs'!$B$4)^(B29-B$2))</f>
        <v>66514.837907327747</v>
      </c>
    </row>
    <row r="30" spans="1:7" x14ac:dyDescent="0.2">
      <c r="A30" s="293">
        <f t="shared" si="2"/>
        <v>27</v>
      </c>
      <c r="B30" s="321">
        <f t="shared" si="0"/>
        <v>2046</v>
      </c>
      <c r="C30" s="13">
        <f>'T8 Crane Reliability'!E32</f>
        <v>457.75329517078831</v>
      </c>
      <c r="D30" s="4">
        <f>'T3 Inputs'!$B$35</f>
        <v>24</v>
      </c>
      <c r="E30" s="41">
        <f>'T3 Inputs'!$B$39</f>
        <v>37.68</v>
      </c>
      <c r="F30" s="28">
        <f t="shared" si="1"/>
        <v>413955.45988884725</v>
      </c>
      <c r="G30" s="31">
        <f>F30/((1+'T3 Inputs'!$B$4)^(B30-B$2))</f>
        <v>62259.81701488074</v>
      </c>
    </row>
    <row r="31" spans="1:7" x14ac:dyDescent="0.2">
      <c r="A31" s="293">
        <f t="shared" si="2"/>
        <v>28</v>
      </c>
      <c r="B31" s="321">
        <f t="shared" si="0"/>
        <v>2047</v>
      </c>
      <c r="C31" s="13">
        <f>'T8 Crane Reliability'!E33</f>
        <v>458.72436107420401</v>
      </c>
      <c r="D31" s="4">
        <f>'T3 Inputs'!$B$35</f>
        <v>24</v>
      </c>
      <c r="E31" s="41">
        <f>'T3 Inputs'!$B$39</f>
        <v>37.68</v>
      </c>
      <c r="F31" s="28">
        <f t="shared" si="1"/>
        <v>414833.61420662422</v>
      </c>
      <c r="G31" s="31">
        <f>F31/((1+'T3 Inputs'!$B$4)^(B31-B$2))</f>
        <v>58310.180716943556</v>
      </c>
    </row>
    <row r="32" spans="1:7" x14ac:dyDescent="0.2">
      <c r="A32" s="293">
        <f t="shared" si="2"/>
        <v>29</v>
      </c>
      <c r="B32" s="321">
        <f t="shared" si="0"/>
        <v>2048</v>
      </c>
      <c r="C32" s="13">
        <f>'T8 Crane Reliability'!E34</f>
        <v>459.96284829568816</v>
      </c>
      <c r="D32" s="4">
        <f>'T3 Inputs'!$B$35</f>
        <v>24</v>
      </c>
      <c r="E32" s="41">
        <f>'T3 Inputs'!$B$39</f>
        <v>37.68</v>
      </c>
      <c r="F32" s="28">
        <f t="shared" si="1"/>
        <v>415953.60297075671</v>
      </c>
      <c r="G32" s="31">
        <f>F32/((1+'T3 Inputs'!$B$4)^(B32-B$2))</f>
        <v>54642.625692333131</v>
      </c>
    </row>
    <row r="33" spans="1:7" x14ac:dyDescent="0.2">
      <c r="A33" s="293">
        <f t="shared" si="2"/>
        <v>30</v>
      </c>
      <c r="B33" s="321">
        <f t="shared" si="0"/>
        <v>2049</v>
      </c>
      <c r="C33" s="13">
        <f>'T8 Crane Reliability'!E35</f>
        <v>461.47410526160195</v>
      </c>
      <c r="D33" s="4">
        <f>'T3 Inputs'!$B$35</f>
        <v>24</v>
      </c>
      <c r="E33" s="41">
        <f>'T3 Inputs'!$B$39</f>
        <v>37.68</v>
      </c>
      <c r="F33" s="28">
        <f t="shared" si="1"/>
        <v>417320.26287017192</v>
      </c>
      <c r="G33" s="31">
        <f>F33/((1+'T3 Inputs'!$B$4)^(B33-B$2))</f>
        <v>51235.663423785118</v>
      </c>
    </row>
    <row r="34" spans="1:7" ht="13.5" thickBot="1" x14ac:dyDescent="0.25">
      <c r="A34" s="600" t="s">
        <v>0</v>
      </c>
      <c r="B34" s="601"/>
      <c r="C34" s="166"/>
      <c r="D34" s="78"/>
      <c r="E34" s="167"/>
      <c r="F34" s="168">
        <f>SUM(F3:F33)</f>
        <v>12301916.548778752</v>
      </c>
      <c r="G34" s="169">
        <f>SUM(G3:G33)</f>
        <v>4676770.7782982662</v>
      </c>
    </row>
    <row r="36" spans="1:7" ht="13.5" thickBot="1" x14ac:dyDescent="0.25"/>
    <row r="37" spans="1:7" ht="51" x14ac:dyDescent="0.2">
      <c r="A37" s="218" t="s">
        <v>130</v>
      </c>
      <c r="B37" s="162" t="s">
        <v>2</v>
      </c>
      <c r="C37" s="162" t="s">
        <v>110</v>
      </c>
      <c r="D37" s="163" t="s">
        <v>109</v>
      </c>
      <c r="E37" s="163" t="s">
        <v>106</v>
      </c>
      <c r="F37" s="163" t="s">
        <v>107</v>
      </c>
      <c r="G37" s="164" t="s">
        <v>108</v>
      </c>
    </row>
    <row r="38" spans="1:7" x14ac:dyDescent="0.2">
      <c r="A38" s="293">
        <f t="shared" ref="A38:E47" si="3">A2</f>
        <v>-1</v>
      </c>
      <c r="B38" s="320">
        <f t="shared" si="3"/>
        <v>2018</v>
      </c>
      <c r="C38" s="325">
        <f t="shared" si="3"/>
        <v>0</v>
      </c>
      <c r="D38" s="229">
        <f t="shared" si="3"/>
        <v>24</v>
      </c>
      <c r="E38" s="47">
        <f t="shared" si="3"/>
        <v>37.68</v>
      </c>
      <c r="F38" s="325">
        <f t="shared" ref="F38:F70" si="4">ROUND(F2,-3)</f>
        <v>0</v>
      </c>
      <c r="G38" s="523">
        <f t="shared" ref="G38:G70" si="5">ROUND(G2,-3)</f>
        <v>0</v>
      </c>
    </row>
    <row r="39" spans="1:7" x14ac:dyDescent="0.2">
      <c r="A39" s="293">
        <f t="shared" si="3"/>
        <v>0</v>
      </c>
      <c r="B39" s="321">
        <f t="shared" si="3"/>
        <v>2019</v>
      </c>
      <c r="C39" s="325">
        <f t="shared" si="3"/>
        <v>0</v>
      </c>
      <c r="D39" s="229">
        <f t="shared" si="3"/>
        <v>24</v>
      </c>
      <c r="E39" s="47">
        <f t="shared" si="3"/>
        <v>37.68</v>
      </c>
      <c r="F39" s="325">
        <f t="shared" si="4"/>
        <v>0</v>
      </c>
      <c r="G39" s="523">
        <f t="shared" si="5"/>
        <v>0</v>
      </c>
    </row>
    <row r="40" spans="1:7" x14ac:dyDescent="0.2">
      <c r="A40" s="293">
        <f t="shared" si="3"/>
        <v>1</v>
      </c>
      <c r="B40" s="321">
        <f t="shared" si="3"/>
        <v>2020</v>
      </c>
      <c r="C40" s="325">
        <f t="shared" si="3"/>
        <v>399.5136</v>
      </c>
      <c r="D40" s="229">
        <f t="shared" si="3"/>
        <v>24</v>
      </c>
      <c r="E40" s="47">
        <f t="shared" si="3"/>
        <v>37.68</v>
      </c>
      <c r="F40" s="325">
        <f t="shared" si="4"/>
        <v>361000</v>
      </c>
      <c r="G40" s="523">
        <f t="shared" si="5"/>
        <v>316000</v>
      </c>
    </row>
    <row r="41" spans="1:7" x14ac:dyDescent="0.2">
      <c r="A41" s="293">
        <f t="shared" si="3"/>
        <v>2</v>
      </c>
      <c r="B41" s="321">
        <f t="shared" si="3"/>
        <v>2021</v>
      </c>
      <c r="C41" s="323">
        <f t="shared" si="3"/>
        <v>407.503872</v>
      </c>
      <c r="D41" s="37">
        <f t="shared" si="3"/>
        <v>24</v>
      </c>
      <c r="E41" s="28">
        <f t="shared" si="3"/>
        <v>37.68</v>
      </c>
      <c r="F41" s="28">
        <f t="shared" si="4"/>
        <v>369000</v>
      </c>
      <c r="G41" s="31">
        <f t="shared" si="5"/>
        <v>301000</v>
      </c>
    </row>
    <row r="42" spans="1:7" x14ac:dyDescent="0.2">
      <c r="A42" s="293">
        <f t="shared" si="3"/>
        <v>3</v>
      </c>
      <c r="B42" s="321">
        <f t="shared" si="3"/>
        <v>2022</v>
      </c>
      <c r="C42" s="323">
        <f t="shared" si="3"/>
        <v>415.65394944000002</v>
      </c>
      <c r="D42" s="37">
        <f t="shared" si="3"/>
        <v>24</v>
      </c>
      <c r="E42" s="28">
        <f t="shared" si="3"/>
        <v>37.68</v>
      </c>
      <c r="F42" s="28">
        <f t="shared" si="4"/>
        <v>376000</v>
      </c>
      <c r="G42" s="31">
        <f t="shared" si="5"/>
        <v>287000</v>
      </c>
    </row>
    <row r="43" spans="1:7" x14ac:dyDescent="0.2">
      <c r="A43" s="293">
        <f t="shared" si="3"/>
        <v>4</v>
      </c>
      <c r="B43" s="321">
        <f t="shared" si="3"/>
        <v>2023</v>
      </c>
      <c r="C43" s="323">
        <f t="shared" si="3"/>
        <v>423.96702842880001</v>
      </c>
      <c r="D43" s="37">
        <f t="shared" si="3"/>
        <v>24</v>
      </c>
      <c r="E43" s="28">
        <f t="shared" si="3"/>
        <v>37.68</v>
      </c>
      <c r="F43" s="28">
        <f t="shared" si="4"/>
        <v>383000</v>
      </c>
      <c r="G43" s="31">
        <f t="shared" si="5"/>
        <v>273000</v>
      </c>
    </row>
    <row r="44" spans="1:7" x14ac:dyDescent="0.2">
      <c r="A44" s="293">
        <f t="shared" si="3"/>
        <v>5</v>
      </c>
      <c r="B44" s="321">
        <f t="shared" si="3"/>
        <v>2024</v>
      </c>
      <c r="C44" s="323">
        <f t="shared" si="3"/>
        <v>432.446368997376</v>
      </c>
      <c r="D44" s="37">
        <f t="shared" si="3"/>
        <v>24</v>
      </c>
      <c r="E44" s="28">
        <f t="shared" si="3"/>
        <v>37.68</v>
      </c>
      <c r="F44" s="28">
        <f t="shared" si="4"/>
        <v>391000</v>
      </c>
      <c r="G44" s="31">
        <f t="shared" si="5"/>
        <v>261000</v>
      </c>
    </row>
    <row r="45" spans="1:7" x14ac:dyDescent="0.2">
      <c r="A45" s="293">
        <f t="shared" si="3"/>
        <v>6</v>
      </c>
      <c r="B45" s="321">
        <f t="shared" si="3"/>
        <v>2025</v>
      </c>
      <c r="C45" s="323">
        <f t="shared" si="3"/>
        <v>441.09529637732351</v>
      </c>
      <c r="D45" s="37">
        <f t="shared" si="3"/>
        <v>24</v>
      </c>
      <c r="E45" s="28">
        <f t="shared" si="3"/>
        <v>37.68</v>
      </c>
      <c r="F45" s="28">
        <f t="shared" si="4"/>
        <v>399000</v>
      </c>
      <c r="G45" s="31">
        <f t="shared" si="5"/>
        <v>248000</v>
      </c>
    </row>
    <row r="46" spans="1:7" x14ac:dyDescent="0.2">
      <c r="A46" s="293">
        <f t="shared" si="3"/>
        <v>7</v>
      </c>
      <c r="B46" s="321">
        <f t="shared" si="3"/>
        <v>2026</v>
      </c>
      <c r="C46" s="323">
        <f t="shared" si="3"/>
        <v>449.91720230487005</v>
      </c>
      <c r="D46" s="37">
        <f t="shared" si="3"/>
        <v>24</v>
      </c>
      <c r="E46" s="28">
        <f t="shared" si="3"/>
        <v>37.68</v>
      </c>
      <c r="F46" s="28">
        <f t="shared" si="4"/>
        <v>407000</v>
      </c>
      <c r="G46" s="31">
        <f t="shared" si="5"/>
        <v>237000</v>
      </c>
    </row>
    <row r="47" spans="1:7" x14ac:dyDescent="0.2">
      <c r="A47" s="293">
        <f t="shared" si="3"/>
        <v>8</v>
      </c>
      <c r="B47" s="321">
        <f t="shared" si="3"/>
        <v>2027</v>
      </c>
      <c r="C47" s="323">
        <f t="shared" si="3"/>
        <v>458.91554635096747</v>
      </c>
      <c r="D47" s="37">
        <f t="shared" si="3"/>
        <v>24</v>
      </c>
      <c r="E47" s="28">
        <f t="shared" si="3"/>
        <v>37.68</v>
      </c>
      <c r="F47" s="28">
        <f t="shared" si="4"/>
        <v>415000</v>
      </c>
      <c r="G47" s="31">
        <f t="shared" si="5"/>
        <v>226000</v>
      </c>
    </row>
    <row r="48" spans="1:7" x14ac:dyDescent="0.2">
      <c r="A48" s="293">
        <f t="shared" ref="A48:E57" si="6">A12</f>
        <v>9</v>
      </c>
      <c r="B48" s="321">
        <f t="shared" si="6"/>
        <v>2028</v>
      </c>
      <c r="C48" s="323">
        <f t="shared" si="6"/>
        <v>468.09385727798679</v>
      </c>
      <c r="D48" s="37">
        <f t="shared" si="6"/>
        <v>24</v>
      </c>
      <c r="E48" s="28">
        <f t="shared" si="6"/>
        <v>37.68</v>
      </c>
      <c r="F48" s="28">
        <f t="shared" si="4"/>
        <v>423000</v>
      </c>
      <c r="G48" s="31">
        <f t="shared" si="5"/>
        <v>215000</v>
      </c>
    </row>
    <row r="49" spans="1:7" x14ac:dyDescent="0.2">
      <c r="A49" s="293">
        <f t="shared" si="6"/>
        <v>10</v>
      </c>
      <c r="B49" s="321">
        <f t="shared" si="6"/>
        <v>2029</v>
      </c>
      <c r="C49" s="323">
        <f t="shared" si="6"/>
        <v>477.45573442354657</v>
      </c>
      <c r="D49" s="37">
        <f t="shared" si="6"/>
        <v>24</v>
      </c>
      <c r="E49" s="28">
        <f t="shared" si="6"/>
        <v>37.68</v>
      </c>
      <c r="F49" s="28">
        <f t="shared" si="4"/>
        <v>432000</v>
      </c>
      <c r="G49" s="31">
        <f t="shared" si="5"/>
        <v>205000</v>
      </c>
    </row>
    <row r="50" spans="1:7" x14ac:dyDescent="0.2">
      <c r="A50" s="293">
        <f t="shared" si="6"/>
        <v>11</v>
      </c>
      <c r="B50" s="321">
        <f t="shared" si="6"/>
        <v>2030</v>
      </c>
      <c r="C50" s="323">
        <f t="shared" si="6"/>
        <v>474.60484911201752</v>
      </c>
      <c r="D50" s="37">
        <f t="shared" si="6"/>
        <v>24</v>
      </c>
      <c r="E50" s="41">
        <f t="shared" si="6"/>
        <v>37.68</v>
      </c>
      <c r="F50" s="28">
        <f t="shared" si="4"/>
        <v>429000</v>
      </c>
      <c r="G50" s="31">
        <f t="shared" si="5"/>
        <v>191000</v>
      </c>
    </row>
    <row r="51" spans="1:7" x14ac:dyDescent="0.2">
      <c r="A51" s="293">
        <f t="shared" si="6"/>
        <v>12</v>
      </c>
      <c r="B51" s="321">
        <f t="shared" si="6"/>
        <v>2031</v>
      </c>
      <c r="C51" s="323">
        <f t="shared" si="6"/>
        <v>471.94494609425772</v>
      </c>
      <c r="D51" s="37">
        <f t="shared" si="6"/>
        <v>24</v>
      </c>
      <c r="E51" s="28">
        <f t="shared" si="6"/>
        <v>37.68</v>
      </c>
      <c r="F51" s="28">
        <f t="shared" si="4"/>
        <v>427000</v>
      </c>
      <c r="G51" s="31">
        <f t="shared" si="5"/>
        <v>177000</v>
      </c>
    </row>
    <row r="52" spans="1:7" x14ac:dyDescent="0.2">
      <c r="A52" s="293">
        <f t="shared" si="6"/>
        <v>13</v>
      </c>
      <c r="B52" s="321">
        <f t="shared" si="6"/>
        <v>2032</v>
      </c>
      <c r="C52" s="323">
        <f t="shared" si="6"/>
        <v>469.47984501614297</v>
      </c>
      <c r="D52" s="37">
        <f t="shared" si="6"/>
        <v>24</v>
      </c>
      <c r="E52" s="28">
        <f t="shared" si="6"/>
        <v>37.68</v>
      </c>
      <c r="F52" s="28">
        <f t="shared" si="4"/>
        <v>425000</v>
      </c>
      <c r="G52" s="31">
        <f t="shared" si="5"/>
        <v>165000</v>
      </c>
    </row>
    <row r="53" spans="1:7" x14ac:dyDescent="0.2">
      <c r="A53" s="293">
        <f t="shared" si="6"/>
        <v>14</v>
      </c>
      <c r="B53" s="321">
        <f t="shared" si="6"/>
        <v>2033</v>
      </c>
      <c r="C53" s="323">
        <f t="shared" si="6"/>
        <v>467.21344191646585</v>
      </c>
      <c r="D53" s="37">
        <f t="shared" si="6"/>
        <v>24</v>
      </c>
      <c r="E53" s="28">
        <f t="shared" si="6"/>
        <v>37.68</v>
      </c>
      <c r="F53" s="28">
        <f t="shared" si="4"/>
        <v>423000</v>
      </c>
      <c r="G53" s="31">
        <f t="shared" si="5"/>
        <v>153000</v>
      </c>
    </row>
    <row r="54" spans="1:7" x14ac:dyDescent="0.2">
      <c r="A54" s="293">
        <f t="shared" si="6"/>
        <v>15</v>
      </c>
      <c r="B54" s="321">
        <f t="shared" si="6"/>
        <v>2034</v>
      </c>
      <c r="C54" s="323">
        <f t="shared" si="6"/>
        <v>465.14971075479525</v>
      </c>
      <c r="D54" s="37">
        <f t="shared" si="6"/>
        <v>24</v>
      </c>
      <c r="E54" s="28">
        <f t="shared" si="6"/>
        <v>37.68</v>
      </c>
      <c r="F54" s="28">
        <f t="shared" si="4"/>
        <v>421000</v>
      </c>
      <c r="G54" s="31">
        <f t="shared" si="5"/>
        <v>142000</v>
      </c>
    </row>
    <row r="55" spans="1:7" x14ac:dyDescent="0.2">
      <c r="A55" s="293">
        <f t="shared" si="6"/>
        <v>16</v>
      </c>
      <c r="B55" s="321">
        <f t="shared" si="6"/>
        <v>2035</v>
      </c>
      <c r="C55" s="323">
        <f t="shared" si="6"/>
        <v>463.29270496989113</v>
      </c>
      <c r="D55" s="37">
        <f t="shared" si="6"/>
        <v>24</v>
      </c>
      <c r="E55" s="28">
        <f t="shared" si="6"/>
        <v>37.68</v>
      </c>
      <c r="F55" s="28">
        <f t="shared" si="4"/>
        <v>419000</v>
      </c>
      <c r="G55" s="31">
        <f t="shared" si="5"/>
        <v>133000</v>
      </c>
    </row>
    <row r="56" spans="1:7" x14ac:dyDescent="0.2">
      <c r="A56" s="293">
        <f t="shared" si="6"/>
        <v>17</v>
      </c>
      <c r="B56" s="321">
        <f t="shared" si="6"/>
        <v>2036</v>
      </c>
      <c r="C56" s="323">
        <f t="shared" si="6"/>
        <v>461.64655906928897</v>
      </c>
      <c r="D56" s="37">
        <f t="shared" si="6"/>
        <v>24</v>
      </c>
      <c r="E56" s="28">
        <f t="shared" si="6"/>
        <v>37.68</v>
      </c>
      <c r="F56" s="28">
        <f t="shared" si="4"/>
        <v>417000</v>
      </c>
      <c r="G56" s="31">
        <f t="shared" si="5"/>
        <v>124000</v>
      </c>
    </row>
    <row r="57" spans="1:7" x14ac:dyDescent="0.2">
      <c r="A57" s="293">
        <f t="shared" si="6"/>
        <v>18</v>
      </c>
      <c r="B57" s="321">
        <f t="shared" si="6"/>
        <v>2037</v>
      </c>
      <c r="C57" s="323">
        <f t="shared" si="6"/>
        <v>460.21549025067475</v>
      </c>
      <c r="D57" s="37">
        <f t="shared" si="6"/>
        <v>24</v>
      </c>
      <c r="E57" s="28">
        <f t="shared" si="6"/>
        <v>37.68</v>
      </c>
      <c r="F57" s="28">
        <f t="shared" si="4"/>
        <v>416000</v>
      </c>
      <c r="G57" s="31">
        <f t="shared" si="5"/>
        <v>115000</v>
      </c>
    </row>
    <row r="58" spans="1:7" x14ac:dyDescent="0.2">
      <c r="A58" s="293">
        <f t="shared" ref="A58:E67" si="7">A22</f>
        <v>19</v>
      </c>
      <c r="B58" s="321">
        <f t="shared" si="7"/>
        <v>2038</v>
      </c>
      <c r="C58" s="323">
        <f t="shared" si="7"/>
        <v>459.00380005568832</v>
      </c>
      <c r="D58" s="37">
        <f t="shared" si="7"/>
        <v>24</v>
      </c>
      <c r="E58" s="28">
        <f t="shared" si="7"/>
        <v>37.68</v>
      </c>
      <c r="F58" s="28">
        <f t="shared" si="4"/>
        <v>415000</v>
      </c>
      <c r="G58" s="31">
        <f t="shared" si="5"/>
        <v>107000</v>
      </c>
    </row>
    <row r="59" spans="1:7" x14ac:dyDescent="0.2">
      <c r="A59" s="293">
        <f t="shared" si="7"/>
        <v>20</v>
      </c>
      <c r="B59" s="321">
        <f t="shared" si="7"/>
        <v>2039</v>
      </c>
      <c r="C59" s="323">
        <f t="shared" si="7"/>
        <v>458.01587605680209</v>
      </c>
      <c r="D59" s="37">
        <f t="shared" si="7"/>
        <v>24</v>
      </c>
      <c r="E59" s="28">
        <f t="shared" si="7"/>
        <v>37.68</v>
      </c>
      <c r="F59" s="28">
        <f t="shared" si="4"/>
        <v>414000</v>
      </c>
      <c r="G59" s="31">
        <f t="shared" si="5"/>
        <v>100000</v>
      </c>
    </row>
    <row r="60" spans="1:7" x14ac:dyDescent="0.2">
      <c r="A60" s="293">
        <f t="shared" si="7"/>
        <v>21</v>
      </c>
      <c r="B60" s="321">
        <f t="shared" si="7"/>
        <v>2040</v>
      </c>
      <c r="C60" s="323">
        <f t="shared" si="7"/>
        <v>457.25619357793812</v>
      </c>
      <c r="D60" s="37">
        <f t="shared" si="7"/>
        <v>24</v>
      </c>
      <c r="E60" s="28">
        <f t="shared" si="7"/>
        <v>37.68</v>
      </c>
      <c r="F60" s="28">
        <f t="shared" si="4"/>
        <v>414000</v>
      </c>
      <c r="G60" s="31">
        <f t="shared" si="5"/>
        <v>93000</v>
      </c>
    </row>
    <row r="61" spans="1:7" x14ac:dyDescent="0.2">
      <c r="A61" s="293">
        <f t="shared" si="7"/>
        <v>22</v>
      </c>
      <c r="B61" s="321">
        <f t="shared" si="7"/>
        <v>2041</v>
      </c>
      <c r="C61" s="323">
        <f t="shared" si="7"/>
        <v>456.72931744949688</v>
      </c>
      <c r="D61" s="37">
        <f t="shared" si="7"/>
        <v>24</v>
      </c>
      <c r="E61" s="28">
        <f t="shared" si="7"/>
        <v>37.68</v>
      </c>
      <c r="F61" s="28">
        <f t="shared" si="4"/>
        <v>413000</v>
      </c>
      <c r="G61" s="31">
        <f t="shared" si="5"/>
        <v>87000</v>
      </c>
    </row>
    <row r="62" spans="1:7" x14ac:dyDescent="0.2">
      <c r="A62" s="293">
        <f t="shared" si="7"/>
        <v>23</v>
      </c>
      <c r="B62" s="321">
        <f t="shared" si="7"/>
        <v>2042</v>
      </c>
      <c r="C62" s="323">
        <f t="shared" si="7"/>
        <v>456.4399037984868</v>
      </c>
      <c r="D62" s="37">
        <f t="shared" si="7"/>
        <v>24</v>
      </c>
      <c r="E62" s="28">
        <f t="shared" si="7"/>
        <v>37.68</v>
      </c>
      <c r="F62" s="28">
        <f t="shared" si="4"/>
        <v>413000</v>
      </c>
      <c r="G62" s="31">
        <f t="shared" si="5"/>
        <v>81000</v>
      </c>
    </row>
    <row r="63" spans="1:7" x14ac:dyDescent="0.2">
      <c r="A63" s="293">
        <f t="shared" si="7"/>
        <v>24</v>
      </c>
      <c r="B63" s="321">
        <f t="shared" si="7"/>
        <v>2043</v>
      </c>
      <c r="C63" s="323">
        <f t="shared" si="7"/>
        <v>456.39270187445652</v>
      </c>
      <c r="D63" s="37">
        <f t="shared" si="7"/>
        <v>24</v>
      </c>
      <c r="E63" s="28">
        <f t="shared" si="7"/>
        <v>37.68</v>
      </c>
      <c r="F63" s="28">
        <f t="shared" si="4"/>
        <v>413000</v>
      </c>
      <c r="G63" s="31">
        <f t="shared" si="5"/>
        <v>76000</v>
      </c>
    </row>
    <row r="64" spans="1:7" x14ac:dyDescent="0.2">
      <c r="A64" s="293">
        <f t="shared" si="7"/>
        <v>25</v>
      </c>
      <c r="B64" s="321">
        <f t="shared" si="7"/>
        <v>2044</v>
      </c>
      <c r="C64" s="323">
        <f t="shared" si="7"/>
        <v>456.59255591194568</v>
      </c>
      <c r="D64" s="37">
        <f t="shared" si="7"/>
        <v>24</v>
      </c>
      <c r="E64" s="28">
        <f t="shared" si="7"/>
        <v>37.68</v>
      </c>
      <c r="F64" s="28">
        <f t="shared" si="4"/>
        <v>413000</v>
      </c>
      <c r="G64" s="31">
        <f t="shared" si="5"/>
        <v>71000</v>
      </c>
    </row>
    <row r="65" spans="1:7" x14ac:dyDescent="0.2">
      <c r="A65" s="293">
        <f t="shared" si="7"/>
        <v>26</v>
      </c>
      <c r="B65" s="321">
        <f t="shared" si="7"/>
        <v>2045</v>
      </c>
      <c r="C65" s="323">
        <f t="shared" si="7"/>
        <v>457.04440703018457</v>
      </c>
      <c r="D65" s="37">
        <f t="shared" si="7"/>
        <v>24</v>
      </c>
      <c r="E65" s="28">
        <f t="shared" si="7"/>
        <v>37.68</v>
      </c>
      <c r="F65" s="28">
        <f t="shared" si="4"/>
        <v>413000</v>
      </c>
      <c r="G65" s="31">
        <f t="shared" si="5"/>
        <v>67000</v>
      </c>
    </row>
    <row r="66" spans="1:7" x14ac:dyDescent="0.2">
      <c r="A66" s="293">
        <f t="shared" si="7"/>
        <v>27</v>
      </c>
      <c r="B66" s="321">
        <f t="shared" si="7"/>
        <v>2046</v>
      </c>
      <c r="C66" s="323">
        <f t="shared" si="7"/>
        <v>457.75329517078831</v>
      </c>
      <c r="D66" s="37">
        <f t="shared" si="7"/>
        <v>24</v>
      </c>
      <c r="E66" s="28">
        <f t="shared" si="7"/>
        <v>37.68</v>
      </c>
      <c r="F66" s="28">
        <f t="shared" si="4"/>
        <v>414000</v>
      </c>
      <c r="G66" s="31">
        <f t="shared" si="5"/>
        <v>62000</v>
      </c>
    </row>
    <row r="67" spans="1:7" x14ac:dyDescent="0.2">
      <c r="A67" s="293">
        <f t="shared" si="7"/>
        <v>28</v>
      </c>
      <c r="B67" s="321">
        <f t="shared" si="7"/>
        <v>2047</v>
      </c>
      <c r="C67" s="323">
        <f t="shared" si="7"/>
        <v>458.72436107420401</v>
      </c>
      <c r="D67" s="37">
        <f t="shared" si="7"/>
        <v>24</v>
      </c>
      <c r="E67" s="28">
        <f t="shared" si="7"/>
        <v>37.68</v>
      </c>
      <c r="F67" s="28">
        <f t="shared" si="4"/>
        <v>415000</v>
      </c>
      <c r="G67" s="31">
        <f t="shared" si="5"/>
        <v>58000</v>
      </c>
    </row>
    <row r="68" spans="1:7" x14ac:dyDescent="0.2">
      <c r="A68" s="293">
        <f t="shared" ref="A68:E69" si="8">A32</f>
        <v>29</v>
      </c>
      <c r="B68" s="321">
        <f t="shared" si="8"/>
        <v>2048</v>
      </c>
      <c r="C68" s="323">
        <f t="shared" si="8"/>
        <v>459.96284829568816</v>
      </c>
      <c r="D68" s="37">
        <f t="shared" si="8"/>
        <v>24</v>
      </c>
      <c r="E68" s="28">
        <f t="shared" si="8"/>
        <v>37.68</v>
      </c>
      <c r="F68" s="28">
        <f t="shared" si="4"/>
        <v>416000</v>
      </c>
      <c r="G68" s="31">
        <f t="shared" si="5"/>
        <v>55000</v>
      </c>
    </row>
    <row r="69" spans="1:7" x14ac:dyDescent="0.2">
      <c r="A69" s="293">
        <f t="shared" si="8"/>
        <v>30</v>
      </c>
      <c r="B69" s="321">
        <f t="shared" si="8"/>
        <v>2049</v>
      </c>
      <c r="C69" s="323">
        <f t="shared" si="8"/>
        <v>461.47410526160195</v>
      </c>
      <c r="D69" s="37">
        <f t="shared" si="8"/>
        <v>24</v>
      </c>
      <c r="E69" s="28">
        <f t="shared" si="8"/>
        <v>37.68</v>
      </c>
      <c r="F69" s="28">
        <f t="shared" si="4"/>
        <v>417000</v>
      </c>
      <c r="G69" s="31">
        <f t="shared" si="5"/>
        <v>51000</v>
      </c>
    </row>
    <row r="70" spans="1:7" ht="13.5" thickBot="1" x14ac:dyDescent="0.25">
      <c r="A70" s="600" t="str">
        <f>A34</f>
        <v>Total</v>
      </c>
      <c r="B70" s="601"/>
      <c r="C70" s="324"/>
      <c r="D70" s="178"/>
      <c r="E70" s="168"/>
      <c r="F70" s="168">
        <f t="shared" si="4"/>
        <v>12302000</v>
      </c>
      <c r="G70" s="169">
        <f t="shared" si="5"/>
        <v>4677000</v>
      </c>
    </row>
  </sheetData>
  <mergeCells count="2">
    <mergeCell ref="A70:B70"/>
    <mergeCell ref="A34:B34"/>
  </mergeCells>
  <pageMargins left="0.5" right="0.5" top="0.75" bottom="0.75" header="0.3" footer="0.3"/>
  <pageSetup orientation="portrait" verticalDpi="0" r:id="rId1"/>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heetViews>
  <sheetFormatPr defaultRowHeight="12.75" x14ac:dyDescent="0.2"/>
  <cols>
    <col min="1" max="1" width="9.140625" style="234"/>
    <col min="2" max="2" width="9.28515625" style="234" bestFit="1" customWidth="1"/>
    <col min="3" max="3" width="15.7109375" style="1" customWidth="1"/>
    <col min="4" max="4" width="15.7109375" style="6" customWidth="1"/>
    <col min="5" max="6" width="15.7109375" style="1" customWidth="1"/>
    <col min="7" max="16384" width="9.140625" style="1"/>
  </cols>
  <sheetData>
    <row r="1" spans="1:6" s="263" customFormat="1" ht="51" x14ac:dyDescent="0.2">
      <c r="A1" s="34" t="s">
        <v>130</v>
      </c>
      <c r="B1" s="26" t="s">
        <v>2</v>
      </c>
      <c r="C1" s="26" t="s">
        <v>158</v>
      </c>
      <c r="D1" s="26" t="s">
        <v>106</v>
      </c>
      <c r="E1" s="34" t="s">
        <v>107</v>
      </c>
      <c r="F1" s="34" t="s">
        <v>270</v>
      </c>
    </row>
    <row r="2" spans="1:6" x14ac:dyDescent="0.2">
      <c r="A2" s="227">
        <v>-1</v>
      </c>
      <c r="B2" s="71">
        <v>2018</v>
      </c>
      <c r="C2" s="42">
        <f>'T6 Truck Travel Time Savings'!I3/60</f>
        <v>0</v>
      </c>
      <c r="D2" s="23">
        <v>27.2</v>
      </c>
      <c r="E2" s="91">
        <f>C2*D2</f>
        <v>0</v>
      </c>
      <c r="F2" s="91">
        <f>E2/((1+'T3 Inputs'!$B$4)^(B2-B$2))</f>
        <v>0</v>
      </c>
    </row>
    <row r="3" spans="1:6" x14ac:dyDescent="0.2">
      <c r="A3" s="227">
        <v>0</v>
      </c>
      <c r="B3" s="70">
        <f>B2+1</f>
        <v>2019</v>
      </c>
      <c r="C3" s="42">
        <f>'T6 Truck Travel Time Savings'!I4/60</f>
        <v>0</v>
      </c>
      <c r="D3" s="23">
        <v>27.2</v>
      </c>
      <c r="E3" s="91">
        <f t="shared" ref="E3:E33" si="0">C3*D3</f>
        <v>0</v>
      </c>
      <c r="F3" s="91">
        <f>E3/((1+'T3 Inputs'!$B$4)^(B3-B$2))</f>
        <v>0</v>
      </c>
    </row>
    <row r="4" spans="1:6" x14ac:dyDescent="0.2">
      <c r="A4" s="227">
        <v>1</v>
      </c>
      <c r="B4" s="70">
        <f t="shared" ref="B4:B33" si="1">B3+1</f>
        <v>2020</v>
      </c>
      <c r="C4" s="42">
        <f>'T6 Truck Travel Time Savings'!I5/60</f>
        <v>31390.196723411962</v>
      </c>
      <c r="D4" s="23">
        <v>27.2</v>
      </c>
      <c r="E4" s="91">
        <f t="shared" si="0"/>
        <v>853813.35087680537</v>
      </c>
      <c r="F4" s="91">
        <f>E4/((1+'T3 Inputs'!$B$4)^(B4-B$2))</f>
        <v>745753.64737252635</v>
      </c>
    </row>
    <row r="5" spans="1:6" x14ac:dyDescent="0.2">
      <c r="A5" s="227">
        <f>A4+1</f>
        <v>2</v>
      </c>
      <c r="B5" s="70">
        <f t="shared" si="1"/>
        <v>2021</v>
      </c>
      <c r="C5" s="13">
        <f>'T6 Truck Travel Time Savings'!I6/60</f>
        <v>34131.258588003955</v>
      </c>
      <c r="D5" s="23">
        <v>27.2</v>
      </c>
      <c r="E5" s="92">
        <f t="shared" si="0"/>
        <v>928370.23359370755</v>
      </c>
      <c r="F5" s="92">
        <f>E5/((1+'T3 Inputs'!$B$4)^(B5-B$2))</f>
        <v>757826.65065120778</v>
      </c>
    </row>
    <row r="6" spans="1:6" x14ac:dyDescent="0.2">
      <c r="A6" s="227">
        <f t="shared" ref="A6:A33" si="2">A5+1</f>
        <v>3</v>
      </c>
      <c r="B6" s="70">
        <f t="shared" si="1"/>
        <v>2022</v>
      </c>
      <c r="C6" s="13">
        <f>'T6 Truck Travel Time Savings'!I7/60</f>
        <v>34131.258588003955</v>
      </c>
      <c r="D6" s="23">
        <v>27.2</v>
      </c>
      <c r="E6" s="28">
        <f t="shared" si="0"/>
        <v>928370.23359370755</v>
      </c>
      <c r="F6" s="28">
        <f>E6/((1+'T3 Inputs'!$B$4)^(B6-B$2))</f>
        <v>708249.20621608209</v>
      </c>
    </row>
    <row r="7" spans="1:6" x14ac:dyDescent="0.2">
      <c r="A7" s="227">
        <f t="shared" si="2"/>
        <v>4</v>
      </c>
      <c r="B7" s="70">
        <f t="shared" si="1"/>
        <v>2023</v>
      </c>
      <c r="C7" s="13">
        <f>'T6 Truck Travel Time Savings'!I8/60</f>
        <v>34131.258588003955</v>
      </c>
      <c r="D7" s="23">
        <v>27.2</v>
      </c>
      <c r="E7" s="28">
        <f t="shared" si="0"/>
        <v>928370.23359370755</v>
      </c>
      <c r="F7" s="28">
        <f>E7/((1+'T3 Inputs'!$B$4)^(B7-B$2))</f>
        <v>661915.14599633834</v>
      </c>
    </row>
    <row r="8" spans="1:6" x14ac:dyDescent="0.2">
      <c r="A8" s="227">
        <f t="shared" si="2"/>
        <v>5</v>
      </c>
      <c r="B8" s="70">
        <f t="shared" si="1"/>
        <v>2024</v>
      </c>
      <c r="C8" s="13">
        <f>'T6 Truck Travel Time Savings'!I9/60</f>
        <v>34131.258588003955</v>
      </c>
      <c r="D8" s="23">
        <v>27.2</v>
      </c>
      <c r="E8" s="28">
        <f t="shared" si="0"/>
        <v>928370.23359370755</v>
      </c>
      <c r="F8" s="28">
        <f>E8/((1+'T3 Inputs'!$B$4)^(B8-B$2))</f>
        <v>618612.28597788629</v>
      </c>
    </row>
    <row r="9" spans="1:6" x14ac:dyDescent="0.2">
      <c r="A9" s="227">
        <f t="shared" si="2"/>
        <v>6</v>
      </c>
      <c r="B9" s="70">
        <f t="shared" si="1"/>
        <v>2025</v>
      </c>
      <c r="C9" s="13">
        <f>'T6 Truck Travel Time Savings'!I10/60</f>
        <v>34131.258588003955</v>
      </c>
      <c r="D9" s="23">
        <v>27.2</v>
      </c>
      <c r="E9" s="28">
        <f t="shared" si="0"/>
        <v>928370.23359370755</v>
      </c>
      <c r="F9" s="28">
        <f>E9/((1+'T3 Inputs'!$B$4)^(B9-B$2))</f>
        <v>578142.32334381889</v>
      </c>
    </row>
    <row r="10" spans="1:6" x14ac:dyDescent="0.2">
      <c r="A10" s="227">
        <f t="shared" si="2"/>
        <v>7</v>
      </c>
      <c r="B10" s="70">
        <f t="shared" si="1"/>
        <v>2026</v>
      </c>
      <c r="C10" s="13">
        <f>'T6 Truck Travel Time Savings'!I11/60</f>
        <v>34131.258588003955</v>
      </c>
      <c r="D10" s="23">
        <v>27.2</v>
      </c>
      <c r="E10" s="28">
        <f t="shared" si="0"/>
        <v>928370.23359370755</v>
      </c>
      <c r="F10" s="28">
        <f>E10/((1+'T3 Inputs'!$B$4)^(B10-B$2))</f>
        <v>540319.92835870932</v>
      </c>
    </row>
    <row r="11" spans="1:6" x14ac:dyDescent="0.2">
      <c r="A11" s="227">
        <f t="shared" si="2"/>
        <v>8</v>
      </c>
      <c r="B11" s="70">
        <f t="shared" si="1"/>
        <v>2027</v>
      </c>
      <c r="C11" s="13">
        <f>'T6 Truck Travel Time Savings'!I12/60</f>
        <v>34131.258588003955</v>
      </c>
      <c r="D11" s="23">
        <v>27.2</v>
      </c>
      <c r="E11" s="28">
        <f t="shared" si="0"/>
        <v>928370.23359370755</v>
      </c>
      <c r="F11" s="28">
        <f>E11/((1+'T3 Inputs'!$B$4)^(B11-B$2))</f>
        <v>504971.89566234511</v>
      </c>
    </row>
    <row r="12" spans="1:6" x14ac:dyDescent="0.2">
      <c r="A12" s="227">
        <f t="shared" si="2"/>
        <v>9</v>
      </c>
      <c r="B12" s="70">
        <f t="shared" si="1"/>
        <v>2028</v>
      </c>
      <c r="C12" s="13">
        <f>'T6 Truck Travel Time Savings'!I13/60</f>
        <v>34131.258588003955</v>
      </c>
      <c r="D12" s="23">
        <v>27.2</v>
      </c>
      <c r="E12" s="28">
        <f t="shared" si="0"/>
        <v>928370.23359370755</v>
      </c>
      <c r="F12" s="28">
        <f>E12/((1+'T3 Inputs'!$B$4)^(B12-B$2))</f>
        <v>471936.35108630382</v>
      </c>
    </row>
    <row r="13" spans="1:6" x14ac:dyDescent="0.2">
      <c r="A13" s="227">
        <f t="shared" si="2"/>
        <v>10</v>
      </c>
      <c r="B13" s="70">
        <f t="shared" si="1"/>
        <v>2029</v>
      </c>
      <c r="C13" s="13">
        <f>'T6 Truck Travel Time Savings'!I14/60</f>
        <v>34131.258588003955</v>
      </c>
      <c r="D13" s="23">
        <v>27.2</v>
      </c>
      <c r="E13" s="28">
        <f t="shared" si="0"/>
        <v>928370.23359370755</v>
      </c>
      <c r="F13" s="28">
        <f>E13/((1+'T3 Inputs'!$B$4)^(B13-B$2))</f>
        <v>441062.01036103157</v>
      </c>
    </row>
    <row r="14" spans="1:6" x14ac:dyDescent="0.2">
      <c r="A14" s="227">
        <f t="shared" si="2"/>
        <v>11</v>
      </c>
      <c r="B14" s="70">
        <f t="shared" si="1"/>
        <v>2030</v>
      </c>
      <c r="C14" s="13">
        <f>'T6 Truck Travel Time Savings'!I15/60</f>
        <v>34131.258588003955</v>
      </c>
      <c r="D14" s="23">
        <v>27.2</v>
      </c>
      <c r="E14" s="28">
        <f t="shared" si="0"/>
        <v>928370.23359370755</v>
      </c>
      <c r="F14" s="28">
        <f>E14/((1+'T3 Inputs'!$B$4)^(B14-B$2))</f>
        <v>412207.4863187212</v>
      </c>
    </row>
    <row r="15" spans="1:6" x14ac:dyDescent="0.2">
      <c r="A15" s="227">
        <f t="shared" si="2"/>
        <v>12</v>
      </c>
      <c r="B15" s="70">
        <f t="shared" si="1"/>
        <v>2031</v>
      </c>
      <c r="C15" s="13">
        <f>'T6 Truck Travel Time Savings'!I16/60</f>
        <v>34131.258588003955</v>
      </c>
      <c r="D15" s="23">
        <v>27.2</v>
      </c>
      <c r="E15" s="28">
        <f t="shared" si="0"/>
        <v>928370.23359370755</v>
      </c>
      <c r="F15" s="28">
        <f>E15/((1+'T3 Inputs'!$B$4)^(B15-B$2))</f>
        <v>385240.64141936554</v>
      </c>
    </row>
    <row r="16" spans="1:6" x14ac:dyDescent="0.2">
      <c r="A16" s="227">
        <f t="shared" si="2"/>
        <v>13</v>
      </c>
      <c r="B16" s="70">
        <f t="shared" si="1"/>
        <v>2032</v>
      </c>
      <c r="C16" s="13">
        <f>'T6 Truck Travel Time Savings'!I17/60</f>
        <v>34131.258588003955</v>
      </c>
      <c r="D16" s="23">
        <v>27.2</v>
      </c>
      <c r="E16" s="28">
        <f t="shared" si="0"/>
        <v>928370.23359370755</v>
      </c>
      <c r="F16" s="28">
        <f>E16/((1+'T3 Inputs'!$B$4)^(B16-B$2))</f>
        <v>360037.98263492109</v>
      </c>
    </row>
    <row r="17" spans="1:6" x14ac:dyDescent="0.2">
      <c r="A17" s="227">
        <f t="shared" si="2"/>
        <v>14</v>
      </c>
      <c r="B17" s="70">
        <f t="shared" si="1"/>
        <v>2033</v>
      </c>
      <c r="C17" s="13">
        <f>'T6 Truck Travel Time Savings'!I18/60</f>
        <v>34131.258588003955</v>
      </c>
      <c r="D17" s="23">
        <v>27.2</v>
      </c>
      <c r="E17" s="28">
        <f t="shared" si="0"/>
        <v>928370.23359370755</v>
      </c>
      <c r="F17" s="28">
        <f>E17/((1+'T3 Inputs'!$B$4)^(B17-B$2))</f>
        <v>336484.09592048696</v>
      </c>
    </row>
    <row r="18" spans="1:6" x14ac:dyDescent="0.2">
      <c r="A18" s="227">
        <f t="shared" si="2"/>
        <v>15</v>
      </c>
      <c r="B18" s="70">
        <f t="shared" si="1"/>
        <v>2034</v>
      </c>
      <c r="C18" s="13">
        <f>'T6 Truck Travel Time Savings'!I19/60</f>
        <v>34131.258588003955</v>
      </c>
      <c r="D18" s="23">
        <v>27.2</v>
      </c>
      <c r="E18" s="28">
        <f t="shared" si="0"/>
        <v>928370.23359370755</v>
      </c>
      <c r="F18" s="28">
        <f>E18/((1+'T3 Inputs'!$B$4)^(B18-B$2))</f>
        <v>314471.11768269812</v>
      </c>
    </row>
    <row r="19" spans="1:6" x14ac:dyDescent="0.2">
      <c r="A19" s="227">
        <f t="shared" si="2"/>
        <v>16</v>
      </c>
      <c r="B19" s="70">
        <f t="shared" si="1"/>
        <v>2035</v>
      </c>
      <c r="C19" s="13">
        <f>'T6 Truck Travel Time Savings'!I20/60</f>
        <v>34131.258588003955</v>
      </c>
      <c r="D19" s="23">
        <v>27.2</v>
      </c>
      <c r="E19" s="28">
        <f t="shared" si="0"/>
        <v>928370.23359370755</v>
      </c>
      <c r="F19" s="28">
        <f>E19/((1+'T3 Inputs'!$B$4)^(B19-B$2))</f>
        <v>293898.24082495156</v>
      </c>
    </row>
    <row r="20" spans="1:6" x14ac:dyDescent="0.2">
      <c r="A20" s="227">
        <f t="shared" si="2"/>
        <v>17</v>
      </c>
      <c r="B20" s="70">
        <f t="shared" si="1"/>
        <v>2036</v>
      </c>
      <c r="C20" s="13">
        <f>'T6 Truck Travel Time Savings'!I21/60</f>
        <v>34131.258588003955</v>
      </c>
      <c r="D20" s="23">
        <v>27.2</v>
      </c>
      <c r="E20" s="28">
        <f t="shared" si="0"/>
        <v>928370.23359370755</v>
      </c>
      <c r="F20" s="28">
        <f>E20/((1+'T3 Inputs'!$B$4)^(B20-B$2))</f>
        <v>274671.25310743134</v>
      </c>
    </row>
    <row r="21" spans="1:6" x14ac:dyDescent="0.2">
      <c r="A21" s="227">
        <f t="shared" si="2"/>
        <v>18</v>
      </c>
      <c r="B21" s="70">
        <f t="shared" si="1"/>
        <v>2037</v>
      </c>
      <c r="C21" s="13">
        <f>'T6 Truck Travel Time Savings'!I22/60</f>
        <v>34131.258588003955</v>
      </c>
      <c r="D21" s="23">
        <v>27.2</v>
      </c>
      <c r="E21" s="28">
        <f t="shared" si="0"/>
        <v>928370.23359370755</v>
      </c>
      <c r="F21" s="28">
        <f>E21/((1+'T3 Inputs'!$B$4)^(B21-B$2))</f>
        <v>256702.10570787973</v>
      </c>
    </row>
    <row r="22" spans="1:6" x14ac:dyDescent="0.2">
      <c r="A22" s="227">
        <f t="shared" si="2"/>
        <v>19</v>
      </c>
      <c r="B22" s="70">
        <f t="shared" si="1"/>
        <v>2038</v>
      </c>
      <c r="C22" s="13">
        <f>'T6 Truck Travel Time Savings'!I23/60</f>
        <v>34131.258588003955</v>
      </c>
      <c r="D22" s="23">
        <v>27.2</v>
      </c>
      <c r="E22" s="28">
        <f t="shared" si="0"/>
        <v>928370.23359370755</v>
      </c>
      <c r="F22" s="28">
        <f>E22/((1+'T3 Inputs'!$B$4)^(B22-B$2))</f>
        <v>239908.51000736427</v>
      </c>
    </row>
    <row r="23" spans="1:6" x14ac:dyDescent="0.2">
      <c r="A23" s="227">
        <f t="shared" si="2"/>
        <v>20</v>
      </c>
      <c r="B23" s="70">
        <f t="shared" si="1"/>
        <v>2039</v>
      </c>
      <c r="C23" s="13">
        <f>'T6 Truck Travel Time Savings'!I24/60</f>
        <v>34131.258588003955</v>
      </c>
      <c r="D23" s="23">
        <v>27.2</v>
      </c>
      <c r="E23" s="28">
        <f t="shared" si="0"/>
        <v>928370.23359370755</v>
      </c>
      <c r="F23" s="28">
        <f>E23/((1+'T3 Inputs'!$B$4)^(B23-B$2))</f>
        <v>224213.56075454602</v>
      </c>
    </row>
    <row r="24" spans="1:6" x14ac:dyDescent="0.2">
      <c r="A24" s="227">
        <f t="shared" si="2"/>
        <v>21</v>
      </c>
      <c r="B24" s="70">
        <f t="shared" si="1"/>
        <v>2040</v>
      </c>
      <c r="C24" s="13">
        <f>'T6 Truck Travel Time Savings'!I25/60</f>
        <v>34131.258588003955</v>
      </c>
      <c r="D24" s="23">
        <v>27.2</v>
      </c>
      <c r="E24" s="28">
        <f t="shared" si="0"/>
        <v>928370.23359370755</v>
      </c>
      <c r="F24" s="28">
        <f>E24/((1+'T3 Inputs'!$B$4)^(B24-B$2))</f>
        <v>209545.38388275329</v>
      </c>
    </row>
    <row r="25" spans="1:6" x14ac:dyDescent="0.2">
      <c r="A25" s="227">
        <f t="shared" si="2"/>
        <v>22</v>
      </c>
      <c r="B25" s="70">
        <f t="shared" si="1"/>
        <v>2041</v>
      </c>
      <c r="C25" s="13">
        <f>'T6 Truck Travel Time Savings'!I26/60</f>
        <v>34131.258588003955</v>
      </c>
      <c r="D25" s="23">
        <v>27.2</v>
      </c>
      <c r="E25" s="28">
        <f t="shared" si="0"/>
        <v>928370.23359370755</v>
      </c>
      <c r="F25" s="28">
        <f>E25/((1+'T3 Inputs'!$B$4)^(B25-B$2))</f>
        <v>195836.80736705914</v>
      </c>
    </row>
    <row r="26" spans="1:6" x14ac:dyDescent="0.2">
      <c r="A26" s="227">
        <f t="shared" si="2"/>
        <v>23</v>
      </c>
      <c r="B26" s="70">
        <f t="shared" si="1"/>
        <v>2042</v>
      </c>
      <c r="C26" s="13">
        <f>'T6 Truck Travel Time Savings'!I27/60</f>
        <v>34131.258588003955</v>
      </c>
      <c r="D26" s="23">
        <v>27.2</v>
      </c>
      <c r="E26" s="28">
        <f t="shared" si="0"/>
        <v>928370.23359370755</v>
      </c>
      <c r="F26" s="28">
        <f>E26/((1+'T3 Inputs'!$B$4)^(B26-B$2))</f>
        <v>183025.05361407396</v>
      </c>
    </row>
    <row r="27" spans="1:6" x14ac:dyDescent="0.2">
      <c r="A27" s="227">
        <f t="shared" si="2"/>
        <v>24</v>
      </c>
      <c r="B27" s="70">
        <f t="shared" si="1"/>
        <v>2043</v>
      </c>
      <c r="C27" s="13">
        <f>'T6 Truck Travel Time Savings'!I28/60</f>
        <v>34131.258588003955</v>
      </c>
      <c r="D27" s="23">
        <v>27.2</v>
      </c>
      <c r="E27" s="28">
        <f t="shared" si="0"/>
        <v>928370.23359370755</v>
      </c>
      <c r="F27" s="28">
        <f>E27/((1+'T3 Inputs'!$B$4)^(B27-B$2))</f>
        <v>171051.45197577003</v>
      </c>
    </row>
    <row r="28" spans="1:6" x14ac:dyDescent="0.2">
      <c r="A28" s="227">
        <f t="shared" si="2"/>
        <v>25</v>
      </c>
      <c r="B28" s="70">
        <f t="shared" si="1"/>
        <v>2044</v>
      </c>
      <c r="C28" s="13">
        <f>'T6 Truck Travel Time Savings'!I29/60</f>
        <v>34131.258588003955</v>
      </c>
      <c r="D28" s="23">
        <v>27.2</v>
      </c>
      <c r="E28" s="28">
        <f t="shared" si="0"/>
        <v>928370.23359370755</v>
      </c>
      <c r="F28" s="28">
        <f>E28/((1+'T3 Inputs'!$B$4)^(B28-B$2))</f>
        <v>159861.17007081315</v>
      </c>
    </row>
    <row r="29" spans="1:6" x14ac:dyDescent="0.2">
      <c r="A29" s="227">
        <f t="shared" si="2"/>
        <v>26</v>
      </c>
      <c r="B29" s="70">
        <f t="shared" si="1"/>
        <v>2045</v>
      </c>
      <c r="C29" s="13">
        <f>'T6 Truck Travel Time Savings'!I30/60</f>
        <v>34131.258588003955</v>
      </c>
      <c r="D29" s="23">
        <v>27.2</v>
      </c>
      <c r="E29" s="28">
        <f t="shared" si="0"/>
        <v>928370.23359370755</v>
      </c>
      <c r="F29" s="28">
        <f>E29/((1+'T3 Inputs'!$B$4)^(B29-B$2))</f>
        <v>149402.9626830029</v>
      </c>
    </row>
    <row r="30" spans="1:6" x14ac:dyDescent="0.2">
      <c r="A30" s="227">
        <f t="shared" si="2"/>
        <v>27</v>
      </c>
      <c r="B30" s="70">
        <f t="shared" si="1"/>
        <v>2046</v>
      </c>
      <c r="C30" s="13">
        <f>'T6 Truck Travel Time Savings'!I31/60</f>
        <v>34131.258588003955</v>
      </c>
      <c r="D30" s="23">
        <v>27.2</v>
      </c>
      <c r="E30" s="28">
        <f t="shared" si="0"/>
        <v>928370.23359370755</v>
      </c>
      <c r="F30" s="28">
        <f>E30/((1+'T3 Inputs'!$B$4)^(B30-B$2))</f>
        <v>139628.93708691862</v>
      </c>
    </row>
    <row r="31" spans="1:6" x14ac:dyDescent="0.2">
      <c r="A31" s="227">
        <f t="shared" si="2"/>
        <v>28</v>
      </c>
      <c r="B31" s="70">
        <f t="shared" si="1"/>
        <v>2047</v>
      </c>
      <c r="C31" s="13">
        <f>'T6 Truck Travel Time Savings'!I32/60</f>
        <v>34131.258588003955</v>
      </c>
      <c r="D31" s="23">
        <v>27.2</v>
      </c>
      <c r="E31" s="28">
        <f t="shared" si="0"/>
        <v>928370.23359370755</v>
      </c>
      <c r="F31" s="28">
        <f>E31/((1+'T3 Inputs'!$B$4)^(B31-B$2))</f>
        <v>130494.33372609217</v>
      </c>
    </row>
    <row r="32" spans="1:6" x14ac:dyDescent="0.2">
      <c r="A32" s="227">
        <f t="shared" si="2"/>
        <v>29</v>
      </c>
      <c r="B32" s="70">
        <f t="shared" si="1"/>
        <v>2048</v>
      </c>
      <c r="C32" s="13">
        <f>'T6 Truck Travel Time Savings'!I33/60</f>
        <v>34131.258588003955</v>
      </c>
      <c r="D32" s="23">
        <v>27.2</v>
      </c>
      <c r="E32" s="28">
        <f t="shared" si="0"/>
        <v>928370.23359370755</v>
      </c>
      <c r="F32" s="28">
        <f>E32/((1+'T3 Inputs'!$B$4)^(B32-B$2))</f>
        <v>121957.32123933849</v>
      </c>
    </row>
    <row r="33" spans="1:6" x14ac:dyDescent="0.2">
      <c r="A33" s="227">
        <f t="shared" si="2"/>
        <v>30</v>
      </c>
      <c r="B33" s="70">
        <f t="shared" si="1"/>
        <v>2049</v>
      </c>
      <c r="C33" s="13">
        <f>'T6 Truck Travel Time Savings'!I34/60</f>
        <v>34131.258588003955</v>
      </c>
      <c r="D33" s="23">
        <v>27.2</v>
      </c>
      <c r="E33" s="28">
        <f t="shared" si="0"/>
        <v>928370.23359370755</v>
      </c>
      <c r="F33" s="28">
        <f>E33/((1+'T3 Inputs'!$B$4)^(B33-B$2))</f>
        <v>113978.804896578</v>
      </c>
    </row>
    <row r="34" spans="1:6" x14ac:dyDescent="0.2">
      <c r="A34" s="602" t="s">
        <v>0</v>
      </c>
      <c r="B34" s="603"/>
      <c r="C34" s="43">
        <f>SUM(C2:C33)</f>
        <v>1021196.695775526</v>
      </c>
      <c r="D34" s="93"/>
      <c r="E34" s="39">
        <f>SUM(E3:E33)</f>
        <v>27776550.125094309</v>
      </c>
      <c r="F34" s="39">
        <f>SUM(F3:F33)</f>
        <v>10701406.66594702</v>
      </c>
    </row>
    <row r="37" spans="1:6" ht="51" x14ac:dyDescent="0.2">
      <c r="A37" s="34" t="s">
        <v>130</v>
      </c>
      <c r="B37" s="26" t="s">
        <v>2</v>
      </c>
      <c r="C37" s="26" t="s">
        <v>158</v>
      </c>
      <c r="D37" s="26" t="s">
        <v>106</v>
      </c>
      <c r="E37" s="34" t="s">
        <v>107</v>
      </c>
      <c r="F37" s="34" t="s">
        <v>270</v>
      </c>
    </row>
    <row r="38" spans="1:6" x14ac:dyDescent="0.2">
      <c r="A38" s="227">
        <v>-1</v>
      </c>
      <c r="B38" s="71">
        <v>2018</v>
      </c>
      <c r="C38" s="524">
        <f t="shared" ref="C38:F57" si="3">ROUND(C2,-3)</f>
        <v>0</v>
      </c>
      <c r="D38" s="51">
        <f>D2</f>
        <v>27.2</v>
      </c>
      <c r="E38" s="325">
        <f t="shared" si="3"/>
        <v>0</v>
      </c>
      <c r="F38" s="325">
        <f t="shared" si="3"/>
        <v>0</v>
      </c>
    </row>
    <row r="39" spans="1:6" x14ac:dyDescent="0.2">
      <c r="A39" s="227">
        <v>0</v>
      </c>
      <c r="B39" s="70">
        <f>B38+1</f>
        <v>2019</v>
      </c>
      <c r="C39" s="524">
        <f t="shared" si="3"/>
        <v>0</v>
      </c>
      <c r="D39" s="51">
        <f t="shared" ref="D39:D69" si="4">D3</f>
        <v>27.2</v>
      </c>
      <c r="E39" s="325">
        <f t="shared" si="3"/>
        <v>0</v>
      </c>
      <c r="F39" s="325">
        <f t="shared" si="3"/>
        <v>0</v>
      </c>
    </row>
    <row r="40" spans="1:6" x14ac:dyDescent="0.2">
      <c r="A40" s="227">
        <v>1</v>
      </c>
      <c r="B40" s="70">
        <f t="shared" ref="B40:B69" si="5">B39+1</f>
        <v>2020</v>
      </c>
      <c r="C40" s="524">
        <f t="shared" si="3"/>
        <v>31000</v>
      </c>
      <c r="D40" s="51">
        <f t="shared" si="4"/>
        <v>27.2</v>
      </c>
      <c r="E40" s="325">
        <f t="shared" si="3"/>
        <v>854000</v>
      </c>
      <c r="F40" s="325">
        <f t="shared" si="3"/>
        <v>746000</v>
      </c>
    </row>
    <row r="41" spans="1:6" x14ac:dyDescent="0.2">
      <c r="A41" s="227">
        <f>A40+1</f>
        <v>2</v>
      </c>
      <c r="B41" s="70">
        <f t="shared" si="5"/>
        <v>2021</v>
      </c>
      <c r="C41" s="524">
        <f t="shared" si="3"/>
        <v>34000</v>
      </c>
      <c r="D41" s="51">
        <f t="shared" si="4"/>
        <v>27.2</v>
      </c>
      <c r="E41" s="47">
        <f t="shared" si="3"/>
        <v>928000</v>
      </c>
      <c r="F41" s="47">
        <f t="shared" si="3"/>
        <v>758000</v>
      </c>
    </row>
    <row r="42" spans="1:6" x14ac:dyDescent="0.2">
      <c r="A42" s="227">
        <f t="shared" ref="A42:A69" si="6">A41+1</f>
        <v>3</v>
      </c>
      <c r="B42" s="70">
        <f t="shared" si="5"/>
        <v>2022</v>
      </c>
      <c r="C42" s="524">
        <f t="shared" si="3"/>
        <v>34000</v>
      </c>
      <c r="D42" s="51">
        <f t="shared" si="4"/>
        <v>27.2</v>
      </c>
      <c r="E42" s="47">
        <f t="shared" si="3"/>
        <v>928000</v>
      </c>
      <c r="F42" s="47">
        <f t="shared" si="3"/>
        <v>708000</v>
      </c>
    </row>
    <row r="43" spans="1:6" x14ac:dyDescent="0.2">
      <c r="A43" s="227">
        <f t="shared" si="6"/>
        <v>4</v>
      </c>
      <c r="B43" s="70">
        <f t="shared" si="5"/>
        <v>2023</v>
      </c>
      <c r="C43" s="524">
        <f t="shared" si="3"/>
        <v>34000</v>
      </c>
      <c r="D43" s="51">
        <f t="shared" si="4"/>
        <v>27.2</v>
      </c>
      <c r="E43" s="47">
        <f t="shared" si="3"/>
        <v>928000</v>
      </c>
      <c r="F43" s="47">
        <f t="shared" si="3"/>
        <v>662000</v>
      </c>
    </row>
    <row r="44" spans="1:6" x14ac:dyDescent="0.2">
      <c r="A44" s="227">
        <f t="shared" si="6"/>
        <v>5</v>
      </c>
      <c r="B44" s="70">
        <f t="shared" si="5"/>
        <v>2024</v>
      </c>
      <c r="C44" s="524">
        <f t="shared" si="3"/>
        <v>34000</v>
      </c>
      <c r="D44" s="51">
        <f t="shared" si="4"/>
        <v>27.2</v>
      </c>
      <c r="E44" s="47">
        <f t="shared" si="3"/>
        <v>928000</v>
      </c>
      <c r="F44" s="47">
        <f t="shared" si="3"/>
        <v>619000</v>
      </c>
    </row>
    <row r="45" spans="1:6" x14ac:dyDescent="0.2">
      <c r="A45" s="227">
        <f t="shared" si="6"/>
        <v>6</v>
      </c>
      <c r="B45" s="70">
        <f t="shared" si="5"/>
        <v>2025</v>
      </c>
      <c r="C45" s="524">
        <f t="shared" si="3"/>
        <v>34000</v>
      </c>
      <c r="D45" s="51">
        <f t="shared" si="4"/>
        <v>27.2</v>
      </c>
      <c r="E45" s="47">
        <f t="shared" si="3"/>
        <v>928000</v>
      </c>
      <c r="F45" s="47">
        <f t="shared" si="3"/>
        <v>578000</v>
      </c>
    </row>
    <row r="46" spans="1:6" x14ac:dyDescent="0.2">
      <c r="A46" s="227">
        <f t="shared" si="6"/>
        <v>7</v>
      </c>
      <c r="B46" s="70">
        <f t="shared" si="5"/>
        <v>2026</v>
      </c>
      <c r="C46" s="524">
        <f t="shared" si="3"/>
        <v>34000</v>
      </c>
      <c r="D46" s="51">
        <f t="shared" si="4"/>
        <v>27.2</v>
      </c>
      <c r="E46" s="47">
        <f t="shared" si="3"/>
        <v>928000</v>
      </c>
      <c r="F46" s="47">
        <f t="shared" si="3"/>
        <v>540000</v>
      </c>
    </row>
    <row r="47" spans="1:6" x14ac:dyDescent="0.2">
      <c r="A47" s="227">
        <f t="shared" si="6"/>
        <v>8</v>
      </c>
      <c r="B47" s="70">
        <f t="shared" si="5"/>
        <v>2027</v>
      </c>
      <c r="C47" s="524">
        <f t="shared" si="3"/>
        <v>34000</v>
      </c>
      <c r="D47" s="51">
        <f t="shared" si="4"/>
        <v>27.2</v>
      </c>
      <c r="E47" s="47">
        <f t="shared" si="3"/>
        <v>928000</v>
      </c>
      <c r="F47" s="47">
        <f t="shared" si="3"/>
        <v>505000</v>
      </c>
    </row>
    <row r="48" spans="1:6" x14ac:dyDescent="0.2">
      <c r="A48" s="227">
        <f t="shared" si="6"/>
        <v>9</v>
      </c>
      <c r="B48" s="70">
        <f t="shared" si="5"/>
        <v>2028</v>
      </c>
      <c r="C48" s="524">
        <f t="shared" si="3"/>
        <v>34000</v>
      </c>
      <c r="D48" s="51">
        <f t="shared" si="4"/>
        <v>27.2</v>
      </c>
      <c r="E48" s="47">
        <f t="shared" si="3"/>
        <v>928000</v>
      </c>
      <c r="F48" s="47">
        <f t="shared" si="3"/>
        <v>472000</v>
      </c>
    </row>
    <row r="49" spans="1:6" x14ac:dyDescent="0.2">
      <c r="A49" s="227">
        <f t="shared" si="6"/>
        <v>10</v>
      </c>
      <c r="B49" s="70">
        <f t="shared" si="5"/>
        <v>2029</v>
      </c>
      <c r="C49" s="524">
        <f t="shared" si="3"/>
        <v>34000</v>
      </c>
      <c r="D49" s="51">
        <f t="shared" si="4"/>
        <v>27.2</v>
      </c>
      <c r="E49" s="47">
        <f t="shared" si="3"/>
        <v>928000</v>
      </c>
      <c r="F49" s="47">
        <f t="shared" si="3"/>
        <v>441000</v>
      </c>
    </row>
    <row r="50" spans="1:6" x14ac:dyDescent="0.2">
      <c r="A50" s="227">
        <f t="shared" si="6"/>
        <v>11</v>
      </c>
      <c r="B50" s="70">
        <f t="shared" si="5"/>
        <v>2030</v>
      </c>
      <c r="C50" s="524">
        <f t="shared" si="3"/>
        <v>34000</v>
      </c>
      <c r="D50" s="51">
        <f t="shared" si="4"/>
        <v>27.2</v>
      </c>
      <c r="E50" s="47">
        <f t="shared" si="3"/>
        <v>928000</v>
      </c>
      <c r="F50" s="47">
        <f t="shared" si="3"/>
        <v>412000</v>
      </c>
    </row>
    <row r="51" spans="1:6" x14ac:dyDescent="0.2">
      <c r="A51" s="227">
        <f t="shared" si="6"/>
        <v>12</v>
      </c>
      <c r="B51" s="70">
        <f t="shared" si="5"/>
        <v>2031</v>
      </c>
      <c r="C51" s="524">
        <f t="shared" si="3"/>
        <v>34000</v>
      </c>
      <c r="D51" s="51">
        <f t="shared" si="4"/>
        <v>27.2</v>
      </c>
      <c r="E51" s="47">
        <f t="shared" si="3"/>
        <v>928000</v>
      </c>
      <c r="F51" s="47">
        <f t="shared" si="3"/>
        <v>385000</v>
      </c>
    </row>
    <row r="52" spans="1:6" x14ac:dyDescent="0.2">
      <c r="A52" s="227">
        <f t="shared" si="6"/>
        <v>13</v>
      </c>
      <c r="B52" s="70">
        <f t="shared" si="5"/>
        <v>2032</v>
      </c>
      <c r="C52" s="524">
        <f t="shared" si="3"/>
        <v>34000</v>
      </c>
      <c r="D52" s="51">
        <f t="shared" si="4"/>
        <v>27.2</v>
      </c>
      <c r="E52" s="47">
        <f t="shared" si="3"/>
        <v>928000</v>
      </c>
      <c r="F52" s="47">
        <f t="shared" si="3"/>
        <v>360000</v>
      </c>
    </row>
    <row r="53" spans="1:6" x14ac:dyDescent="0.2">
      <c r="A53" s="227">
        <f t="shared" si="6"/>
        <v>14</v>
      </c>
      <c r="B53" s="70">
        <f t="shared" si="5"/>
        <v>2033</v>
      </c>
      <c r="C53" s="524">
        <f t="shared" si="3"/>
        <v>34000</v>
      </c>
      <c r="D53" s="51">
        <f t="shared" si="4"/>
        <v>27.2</v>
      </c>
      <c r="E53" s="47">
        <f t="shared" si="3"/>
        <v>928000</v>
      </c>
      <c r="F53" s="47">
        <f t="shared" si="3"/>
        <v>336000</v>
      </c>
    </row>
    <row r="54" spans="1:6" x14ac:dyDescent="0.2">
      <c r="A54" s="227">
        <f t="shared" si="6"/>
        <v>15</v>
      </c>
      <c r="B54" s="70">
        <f t="shared" si="5"/>
        <v>2034</v>
      </c>
      <c r="C54" s="524">
        <f t="shared" si="3"/>
        <v>34000</v>
      </c>
      <c r="D54" s="51">
        <f t="shared" si="4"/>
        <v>27.2</v>
      </c>
      <c r="E54" s="47">
        <f t="shared" si="3"/>
        <v>928000</v>
      </c>
      <c r="F54" s="47">
        <f t="shared" si="3"/>
        <v>314000</v>
      </c>
    </row>
    <row r="55" spans="1:6" x14ac:dyDescent="0.2">
      <c r="A55" s="227">
        <f t="shared" si="6"/>
        <v>16</v>
      </c>
      <c r="B55" s="70">
        <f t="shared" si="5"/>
        <v>2035</v>
      </c>
      <c r="C55" s="524">
        <f t="shared" si="3"/>
        <v>34000</v>
      </c>
      <c r="D55" s="51">
        <f t="shared" si="4"/>
        <v>27.2</v>
      </c>
      <c r="E55" s="47">
        <f t="shared" si="3"/>
        <v>928000</v>
      </c>
      <c r="F55" s="47">
        <f t="shared" si="3"/>
        <v>294000</v>
      </c>
    </row>
    <row r="56" spans="1:6" x14ac:dyDescent="0.2">
      <c r="A56" s="227">
        <f t="shared" si="6"/>
        <v>17</v>
      </c>
      <c r="B56" s="70">
        <f t="shared" si="5"/>
        <v>2036</v>
      </c>
      <c r="C56" s="524">
        <f t="shared" si="3"/>
        <v>34000</v>
      </c>
      <c r="D56" s="51">
        <f t="shared" si="4"/>
        <v>27.2</v>
      </c>
      <c r="E56" s="47">
        <f t="shared" si="3"/>
        <v>928000</v>
      </c>
      <c r="F56" s="47">
        <f t="shared" si="3"/>
        <v>275000</v>
      </c>
    </row>
    <row r="57" spans="1:6" x14ac:dyDescent="0.2">
      <c r="A57" s="227">
        <f t="shared" si="6"/>
        <v>18</v>
      </c>
      <c r="B57" s="70">
        <f t="shared" si="5"/>
        <v>2037</v>
      </c>
      <c r="C57" s="524">
        <f t="shared" si="3"/>
        <v>34000</v>
      </c>
      <c r="D57" s="51">
        <f t="shared" si="4"/>
        <v>27.2</v>
      </c>
      <c r="E57" s="47">
        <f t="shared" si="3"/>
        <v>928000</v>
      </c>
      <c r="F57" s="47">
        <f t="shared" si="3"/>
        <v>257000</v>
      </c>
    </row>
    <row r="58" spans="1:6" x14ac:dyDescent="0.2">
      <c r="A58" s="227">
        <f t="shared" si="6"/>
        <v>19</v>
      </c>
      <c r="B58" s="70">
        <f t="shared" si="5"/>
        <v>2038</v>
      </c>
      <c r="C58" s="524">
        <f t="shared" ref="C58:F70" si="7">ROUND(C22,-3)</f>
        <v>34000</v>
      </c>
      <c r="D58" s="51">
        <f t="shared" si="4"/>
        <v>27.2</v>
      </c>
      <c r="E58" s="47">
        <f t="shared" si="7"/>
        <v>928000</v>
      </c>
      <c r="F58" s="47">
        <f t="shared" si="7"/>
        <v>240000</v>
      </c>
    </row>
    <row r="59" spans="1:6" x14ac:dyDescent="0.2">
      <c r="A59" s="227">
        <f t="shared" si="6"/>
        <v>20</v>
      </c>
      <c r="B59" s="70">
        <f t="shared" si="5"/>
        <v>2039</v>
      </c>
      <c r="C59" s="524">
        <f t="shared" si="7"/>
        <v>34000</v>
      </c>
      <c r="D59" s="51">
        <f t="shared" si="4"/>
        <v>27.2</v>
      </c>
      <c r="E59" s="47">
        <f t="shared" si="7"/>
        <v>928000</v>
      </c>
      <c r="F59" s="47">
        <f t="shared" si="7"/>
        <v>224000</v>
      </c>
    </row>
    <row r="60" spans="1:6" x14ac:dyDescent="0.2">
      <c r="A60" s="227">
        <f t="shared" si="6"/>
        <v>21</v>
      </c>
      <c r="B60" s="70">
        <f t="shared" si="5"/>
        <v>2040</v>
      </c>
      <c r="C60" s="524">
        <f t="shared" si="7"/>
        <v>34000</v>
      </c>
      <c r="D60" s="51">
        <f t="shared" si="4"/>
        <v>27.2</v>
      </c>
      <c r="E60" s="47">
        <f t="shared" si="7"/>
        <v>928000</v>
      </c>
      <c r="F60" s="47">
        <f t="shared" si="7"/>
        <v>210000</v>
      </c>
    </row>
    <row r="61" spans="1:6" x14ac:dyDescent="0.2">
      <c r="A61" s="227">
        <f t="shared" si="6"/>
        <v>22</v>
      </c>
      <c r="B61" s="70">
        <f t="shared" si="5"/>
        <v>2041</v>
      </c>
      <c r="C61" s="524">
        <f t="shared" si="7"/>
        <v>34000</v>
      </c>
      <c r="D61" s="51">
        <f t="shared" si="4"/>
        <v>27.2</v>
      </c>
      <c r="E61" s="47">
        <f t="shared" si="7"/>
        <v>928000</v>
      </c>
      <c r="F61" s="47">
        <f t="shared" si="7"/>
        <v>196000</v>
      </c>
    </row>
    <row r="62" spans="1:6" x14ac:dyDescent="0.2">
      <c r="A62" s="227">
        <f t="shared" si="6"/>
        <v>23</v>
      </c>
      <c r="B62" s="70">
        <f t="shared" si="5"/>
        <v>2042</v>
      </c>
      <c r="C62" s="524">
        <f t="shared" si="7"/>
        <v>34000</v>
      </c>
      <c r="D62" s="51">
        <f t="shared" si="4"/>
        <v>27.2</v>
      </c>
      <c r="E62" s="47">
        <f t="shared" si="7"/>
        <v>928000</v>
      </c>
      <c r="F62" s="47">
        <f t="shared" si="7"/>
        <v>183000</v>
      </c>
    </row>
    <row r="63" spans="1:6" x14ac:dyDescent="0.2">
      <c r="A63" s="227">
        <f t="shared" si="6"/>
        <v>24</v>
      </c>
      <c r="B63" s="70">
        <f t="shared" si="5"/>
        <v>2043</v>
      </c>
      <c r="C63" s="524">
        <f t="shared" si="7"/>
        <v>34000</v>
      </c>
      <c r="D63" s="51">
        <f t="shared" si="4"/>
        <v>27.2</v>
      </c>
      <c r="E63" s="47">
        <f t="shared" si="7"/>
        <v>928000</v>
      </c>
      <c r="F63" s="47">
        <f t="shared" si="7"/>
        <v>171000</v>
      </c>
    </row>
    <row r="64" spans="1:6" x14ac:dyDescent="0.2">
      <c r="A64" s="227">
        <f t="shared" si="6"/>
        <v>25</v>
      </c>
      <c r="B64" s="70">
        <f t="shared" si="5"/>
        <v>2044</v>
      </c>
      <c r="C64" s="524">
        <f t="shared" si="7"/>
        <v>34000</v>
      </c>
      <c r="D64" s="51">
        <f t="shared" si="4"/>
        <v>27.2</v>
      </c>
      <c r="E64" s="47">
        <f t="shared" si="7"/>
        <v>928000</v>
      </c>
      <c r="F64" s="47">
        <f t="shared" si="7"/>
        <v>160000</v>
      </c>
    </row>
    <row r="65" spans="1:6" x14ac:dyDescent="0.2">
      <c r="A65" s="227">
        <f t="shared" si="6"/>
        <v>26</v>
      </c>
      <c r="B65" s="70">
        <f t="shared" si="5"/>
        <v>2045</v>
      </c>
      <c r="C65" s="524">
        <f t="shared" si="7"/>
        <v>34000</v>
      </c>
      <c r="D65" s="51">
        <f t="shared" si="4"/>
        <v>27.2</v>
      </c>
      <c r="E65" s="47">
        <f t="shared" si="7"/>
        <v>928000</v>
      </c>
      <c r="F65" s="47">
        <f t="shared" si="7"/>
        <v>149000</v>
      </c>
    </row>
    <row r="66" spans="1:6" x14ac:dyDescent="0.2">
      <c r="A66" s="227">
        <f t="shared" si="6"/>
        <v>27</v>
      </c>
      <c r="B66" s="70">
        <f t="shared" si="5"/>
        <v>2046</v>
      </c>
      <c r="C66" s="524">
        <f t="shared" si="7"/>
        <v>34000</v>
      </c>
      <c r="D66" s="51">
        <f t="shared" si="4"/>
        <v>27.2</v>
      </c>
      <c r="E66" s="47">
        <f t="shared" si="7"/>
        <v>928000</v>
      </c>
      <c r="F66" s="47">
        <f t="shared" si="7"/>
        <v>140000</v>
      </c>
    </row>
    <row r="67" spans="1:6" x14ac:dyDescent="0.2">
      <c r="A67" s="227">
        <f t="shared" si="6"/>
        <v>28</v>
      </c>
      <c r="B67" s="70">
        <f t="shared" si="5"/>
        <v>2047</v>
      </c>
      <c r="C67" s="524">
        <f t="shared" si="7"/>
        <v>34000</v>
      </c>
      <c r="D67" s="51">
        <f t="shared" si="4"/>
        <v>27.2</v>
      </c>
      <c r="E67" s="47">
        <f t="shared" si="7"/>
        <v>928000</v>
      </c>
      <c r="F67" s="47">
        <f t="shared" si="7"/>
        <v>130000</v>
      </c>
    </row>
    <row r="68" spans="1:6" x14ac:dyDescent="0.2">
      <c r="A68" s="227">
        <f t="shared" si="6"/>
        <v>29</v>
      </c>
      <c r="B68" s="70">
        <f t="shared" si="5"/>
        <v>2048</v>
      </c>
      <c r="C68" s="524">
        <f t="shared" si="7"/>
        <v>34000</v>
      </c>
      <c r="D68" s="51">
        <f t="shared" si="4"/>
        <v>27.2</v>
      </c>
      <c r="E68" s="47">
        <f t="shared" si="7"/>
        <v>928000</v>
      </c>
      <c r="F68" s="47">
        <f t="shared" si="7"/>
        <v>122000</v>
      </c>
    </row>
    <row r="69" spans="1:6" x14ac:dyDescent="0.2">
      <c r="A69" s="227">
        <f t="shared" si="6"/>
        <v>30</v>
      </c>
      <c r="B69" s="70">
        <f t="shared" si="5"/>
        <v>2049</v>
      </c>
      <c r="C69" s="524">
        <f t="shared" si="7"/>
        <v>34000</v>
      </c>
      <c r="D69" s="51">
        <f t="shared" si="4"/>
        <v>27.2</v>
      </c>
      <c r="E69" s="47">
        <f t="shared" si="7"/>
        <v>928000</v>
      </c>
      <c r="F69" s="47">
        <f t="shared" si="7"/>
        <v>114000</v>
      </c>
    </row>
    <row r="70" spans="1:6" x14ac:dyDescent="0.2">
      <c r="A70" s="602" t="s">
        <v>0</v>
      </c>
      <c r="B70" s="603"/>
      <c r="C70" s="525">
        <f>ROUND(C34,-3)</f>
        <v>1021000</v>
      </c>
      <c r="D70" s="326"/>
      <c r="E70" s="48">
        <f t="shared" si="7"/>
        <v>27777000</v>
      </c>
      <c r="F70" s="48">
        <f t="shared" si="7"/>
        <v>10701000</v>
      </c>
    </row>
  </sheetData>
  <mergeCells count="2">
    <mergeCell ref="A34:B34"/>
    <mergeCell ref="A70:B70"/>
  </mergeCells>
  <pageMargins left="0.7" right="0.7" top="0.75" bottom="0.75" header="0.3" footer="0.3"/>
  <pageSetup orientation="portrait" verticalDpi="0"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selection activeCell="A2" sqref="A2:C2"/>
    </sheetView>
  </sheetViews>
  <sheetFormatPr defaultRowHeight="12.75" x14ac:dyDescent="0.2"/>
  <cols>
    <col min="1" max="1" width="6" style="1" customWidth="1"/>
    <col min="2" max="2" width="63.42578125" style="1" customWidth="1"/>
    <col min="3" max="3" width="18.5703125" style="1" customWidth="1"/>
    <col min="4" max="4" width="12.5703125" style="1" bestFit="1" customWidth="1"/>
    <col min="5" max="5" width="10.7109375" style="1" bestFit="1" customWidth="1"/>
    <col min="6" max="6" width="15.7109375" style="1" customWidth="1"/>
    <col min="7" max="7" width="9.140625" style="1"/>
    <col min="8" max="8" width="63.7109375" style="1" customWidth="1"/>
    <col min="9" max="9" width="15.85546875" style="1" customWidth="1"/>
    <col min="10" max="16384" width="9.140625" style="1"/>
  </cols>
  <sheetData>
    <row r="1" spans="1:9" x14ac:dyDescent="0.2">
      <c r="A1" s="565"/>
      <c r="B1" s="565"/>
      <c r="C1" s="565"/>
    </row>
    <row r="2" spans="1:9" ht="12.75" customHeight="1" thickBot="1" x14ac:dyDescent="0.25">
      <c r="A2" s="563" t="s">
        <v>12</v>
      </c>
      <c r="B2" s="563"/>
      <c r="C2" s="564"/>
      <c r="G2" s="563" t="s">
        <v>12</v>
      </c>
      <c r="H2" s="563"/>
      <c r="I2" s="564"/>
    </row>
    <row r="3" spans="1:9" ht="15.75" x14ac:dyDescent="0.25">
      <c r="A3" s="53"/>
      <c r="B3" s="54"/>
      <c r="C3" s="55" t="s">
        <v>0</v>
      </c>
      <c r="G3" s="53"/>
      <c r="H3" s="54"/>
      <c r="I3" s="55" t="s">
        <v>0</v>
      </c>
    </row>
    <row r="4" spans="1:9" ht="15.95" customHeight="1" x14ac:dyDescent="0.25">
      <c r="A4" s="559" t="s">
        <v>1</v>
      </c>
      <c r="B4" s="560"/>
      <c r="C4" s="56">
        <f>SUM(C5:C6)</f>
        <v>1059263.1288329463</v>
      </c>
      <c r="G4" s="559" t="s">
        <v>1</v>
      </c>
      <c r="H4" s="560"/>
      <c r="I4" s="56">
        <f>ROUND(C4,-3)</f>
        <v>1059000</v>
      </c>
    </row>
    <row r="5" spans="1:9" ht="15.95" customHeight="1" x14ac:dyDescent="0.25">
      <c r="A5" s="100"/>
      <c r="B5" s="96" t="s">
        <v>173</v>
      </c>
      <c r="C5" s="98">
        <f>'T12 SOGR1'!F35</f>
        <v>104574.05211981697</v>
      </c>
      <c r="G5" s="100"/>
      <c r="H5" s="96" t="s">
        <v>173</v>
      </c>
      <c r="I5" s="98">
        <f t="shared" ref="I5:I22" si="0">ROUND(C5,-3)</f>
        <v>105000</v>
      </c>
    </row>
    <row r="6" spans="1:9" ht="15.95" customHeight="1" x14ac:dyDescent="0.25">
      <c r="A6" s="100"/>
      <c r="B6" s="110" t="s">
        <v>129</v>
      </c>
      <c r="C6" s="111">
        <f>'T26 Residual Value'!J36</f>
        <v>954689.0767131293</v>
      </c>
      <c r="G6" s="100"/>
      <c r="H6" s="110" t="s">
        <v>129</v>
      </c>
      <c r="I6" s="111">
        <f>ROUND(C6,-3)</f>
        <v>955000</v>
      </c>
    </row>
    <row r="7" spans="1:9" ht="15.95" customHeight="1" x14ac:dyDescent="0.25">
      <c r="A7" s="559" t="s">
        <v>3</v>
      </c>
      <c r="B7" s="560"/>
      <c r="C7" s="56">
        <f>SUM(C8:C12)</f>
        <v>69407004.688930199</v>
      </c>
      <c r="G7" s="559" t="s">
        <v>3</v>
      </c>
      <c r="H7" s="560"/>
      <c r="I7" s="56">
        <f t="shared" si="0"/>
        <v>69407000</v>
      </c>
    </row>
    <row r="8" spans="1:9" ht="15.95" customHeight="1" x14ac:dyDescent="0.25">
      <c r="A8" s="97"/>
      <c r="B8" s="96" t="s">
        <v>99</v>
      </c>
      <c r="C8" s="98">
        <f>'T16 EC2'!F34</f>
        <v>890846.80153924017</v>
      </c>
      <c r="G8" s="97"/>
      <c r="H8" s="96" t="s">
        <v>99</v>
      </c>
      <c r="I8" s="98">
        <f t="shared" si="0"/>
        <v>891000</v>
      </c>
    </row>
    <row r="9" spans="1:9" ht="15.95" customHeight="1" x14ac:dyDescent="0.25">
      <c r="A9" s="97"/>
      <c r="B9" s="96" t="s">
        <v>100</v>
      </c>
      <c r="C9" s="98">
        <f>T17EC3!F34</f>
        <v>1884822.5311934329</v>
      </c>
      <c r="G9" s="97"/>
      <c r="H9" s="96" t="s">
        <v>100</v>
      </c>
      <c r="I9" s="98">
        <f t="shared" si="0"/>
        <v>1885000</v>
      </c>
    </row>
    <row r="10" spans="1:9" ht="15.95" customHeight="1" x14ac:dyDescent="0.25">
      <c r="A10" s="99"/>
      <c r="B10" s="96" t="s">
        <v>185</v>
      </c>
      <c r="C10" s="98">
        <f>'T18 EC4'!G34</f>
        <v>4676770.7782982662</v>
      </c>
      <c r="G10" s="99"/>
      <c r="H10" s="96" t="s">
        <v>185</v>
      </c>
      <c r="I10" s="98">
        <f t="shared" si="0"/>
        <v>4677000</v>
      </c>
    </row>
    <row r="11" spans="1:9" ht="15.95" customHeight="1" x14ac:dyDescent="0.25">
      <c r="A11" s="99"/>
      <c r="B11" s="96" t="s">
        <v>186</v>
      </c>
      <c r="C11" s="98">
        <f>T19EC5!F34</f>
        <v>10701406.66594702</v>
      </c>
      <c r="G11" s="99"/>
      <c r="H11" s="96" t="s">
        <v>186</v>
      </c>
      <c r="I11" s="98">
        <f t="shared" si="0"/>
        <v>10701000</v>
      </c>
    </row>
    <row r="12" spans="1:9" ht="15.95" customHeight="1" x14ac:dyDescent="0.25">
      <c r="A12" s="99"/>
      <c r="B12" s="96" t="s">
        <v>187</v>
      </c>
      <c r="C12" s="98">
        <f>'T15 EC1'!J34</f>
        <v>51253157.911952242</v>
      </c>
      <c r="G12" s="99"/>
      <c r="H12" s="96" t="s">
        <v>187</v>
      </c>
      <c r="I12" s="98">
        <f t="shared" si="0"/>
        <v>51253000</v>
      </c>
    </row>
    <row r="13" spans="1:9" ht="15.95" customHeight="1" x14ac:dyDescent="0.25">
      <c r="A13" s="559" t="s">
        <v>29</v>
      </c>
      <c r="B13" s="560"/>
      <c r="C13" s="56">
        <f>C14</f>
        <v>60362.603601171897</v>
      </c>
      <c r="G13" s="559" t="s">
        <v>29</v>
      </c>
      <c r="H13" s="560"/>
      <c r="I13" s="56">
        <f t="shared" si="0"/>
        <v>60000</v>
      </c>
    </row>
    <row r="14" spans="1:9" ht="15.95" customHeight="1" x14ac:dyDescent="0.25">
      <c r="A14" s="99"/>
      <c r="B14" s="96" t="s">
        <v>101</v>
      </c>
      <c r="C14" s="98">
        <f>'T20 QOL1'!F34</f>
        <v>60362.603601171897</v>
      </c>
      <c r="G14" s="99"/>
      <c r="H14" s="96" t="s">
        <v>101</v>
      </c>
      <c r="I14" s="98">
        <f t="shared" si="0"/>
        <v>60000</v>
      </c>
    </row>
    <row r="15" spans="1:9" ht="15.95" customHeight="1" x14ac:dyDescent="0.25">
      <c r="A15" s="559" t="s">
        <v>5</v>
      </c>
      <c r="B15" s="560"/>
      <c r="C15" s="56">
        <f>SUM(C16:C17)</f>
        <v>17183480.753454391</v>
      </c>
      <c r="G15" s="559" t="s">
        <v>5</v>
      </c>
      <c r="H15" s="560"/>
      <c r="I15" s="56">
        <f t="shared" si="0"/>
        <v>17183000</v>
      </c>
    </row>
    <row r="16" spans="1:9" ht="15.95" customHeight="1" x14ac:dyDescent="0.25">
      <c r="A16" s="97"/>
      <c r="B16" s="96" t="s">
        <v>103</v>
      </c>
      <c r="C16" s="98">
        <f>'T21 Sus1'!G34</f>
        <v>368121.2332028026</v>
      </c>
      <c r="G16" s="97"/>
      <c r="H16" s="96" t="s">
        <v>103</v>
      </c>
      <c r="I16" s="98">
        <f t="shared" si="0"/>
        <v>368000</v>
      </c>
    </row>
    <row r="17" spans="1:9" ht="15.95" customHeight="1" x14ac:dyDescent="0.25">
      <c r="A17" s="99"/>
      <c r="B17" s="96" t="s">
        <v>102</v>
      </c>
      <c r="C17" s="98">
        <f>'T22 Sus2'!G34</f>
        <v>16815359.520251587</v>
      </c>
      <c r="G17" s="99"/>
      <c r="H17" s="96" t="s">
        <v>102</v>
      </c>
      <c r="I17" s="98">
        <f t="shared" si="0"/>
        <v>16815000</v>
      </c>
    </row>
    <row r="18" spans="1:9" ht="15.95" customHeight="1" x14ac:dyDescent="0.25">
      <c r="A18" s="559" t="s">
        <v>4</v>
      </c>
      <c r="B18" s="560"/>
      <c r="C18" s="56">
        <f>SUM(C19:C19)</f>
        <v>430389.85503287526</v>
      </c>
      <c r="G18" s="559" t="s">
        <v>4</v>
      </c>
      <c r="H18" s="560"/>
      <c r="I18" s="56">
        <f t="shared" si="0"/>
        <v>430000</v>
      </c>
    </row>
    <row r="19" spans="1:9" ht="15.95" customHeight="1" x14ac:dyDescent="0.25">
      <c r="A19" s="100"/>
      <c r="B19" s="96" t="s">
        <v>188</v>
      </c>
      <c r="C19" s="98">
        <f>'T23 SAF1'!E40</f>
        <v>430389.85503287526</v>
      </c>
      <c r="G19" s="100"/>
      <c r="H19" s="96" t="s">
        <v>188</v>
      </c>
      <c r="I19" s="98">
        <f t="shared" si="0"/>
        <v>430000</v>
      </c>
    </row>
    <row r="20" spans="1:9" ht="15.95" customHeight="1" x14ac:dyDescent="0.25">
      <c r="A20" s="559" t="s">
        <v>6</v>
      </c>
      <c r="B20" s="560"/>
      <c r="C20" s="56">
        <f>C4+C7+C13+C15+C18</f>
        <v>88140501.029851586</v>
      </c>
      <c r="G20" s="559" t="s">
        <v>6</v>
      </c>
      <c r="H20" s="560"/>
      <c r="I20" s="56">
        <f t="shared" si="0"/>
        <v>88141000</v>
      </c>
    </row>
    <row r="21" spans="1:9" ht="15.95" customHeight="1" x14ac:dyDescent="0.25">
      <c r="A21" s="559" t="s">
        <v>7</v>
      </c>
      <c r="B21" s="560"/>
      <c r="C21" s="56">
        <f>C22</f>
        <v>31443416.71271947</v>
      </c>
      <c r="G21" s="559" t="s">
        <v>7</v>
      </c>
      <c r="H21" s="560"/>
      <c r="I21" s="56">
        <f t="shared" si="0"/>
        <v>31443000</v>
      </c>
    </row>
    <row r="22" spans="1:9" ht="15.95" customHeight="1" x14ac:dyDescent="0.25">
      <c r="A22" s="109"/>
      <c r="B22" s="110" t="s">
        <v>308</v>
      </c>
      <c r="C22" s="111">
        <f>'T25 Costs'!L36</f>
        <v>31443416.71271947</v>
      </c>
      <c r="G22" s="109"/>
      <c r="H22" s="110" t="s">
        <v>308</v>
      </c>
      <c r="I22" s="111">
        <f t="shared" si="0"/>
        <v>31443000</v>
      </c>
    </row>
    <row r="23" spans="1:9" ht="15.75" customHeight="1" thickBot="1" x14ac:dyDescent="0.3">
      <c r="A23" s="561" t="s">
        <v>8</v>
      </c>
      <c r="B23" s="562"/>
      <c r="C23" s="409">
        <f>C20/C21</f>
        <v>2.803146421241081</v>
      </c>
      <c r="G23" s="561" t="s">
        <v>8</v>
      </c>
      <c r="H23" s="562"/>
      <c r="I23" s="409">
        <f>C23</f>
        <v>2.803146421241081</v>
      </c>
    </row>
    <row r="24" spans="1:9" ht="13.5" thickBot="1" x14ac:dyDescent="0.25"/>
    <row r="25" spans="1:9" s="204" customFormat="1" x14ac:dyDescent="0.2">
      <c r="B25" s="205" t="s">
        <v>170</v>
      </c>
      <c r="C25" s="206" t="s">
        <v>131</v>
      </c>
      <c r="D25" s="206" t="s">
        <v>248</v>
      </c>
      <c r="E25" s="206" t="s">
        <v>155</v>
      </c>
      <c r="F25" s="207" t="s">
        <v>376</v>
      </c>
    </row>
    <row r="26" spans="1:9" x14ac:dyDescent="0.2">
      <c r="B26" s="17" t="s">
        <v>123</v>
      </c>
      <c r="C26" s="28">
        <f>C5+C8+C11+C14+C16+C19</f>
        <v>12555701.211442929</v>
      </c>
      <c r="D26" s="28">
        <f>'T25 Costs'!J36-'T26 Residual Value'!I36</f>
        <v>10214224.080828447</v>
      </c>
      <c r="E26" s="526">
        <f>C26/D26</f>
        <v>1.2292369065026985</v>
      </c>
      <c r="F26" s="31">
        <f>C26-D26</f>
        <v>2341477.1306144819</v>
      </c>
    </row>
    <row r="27" spans="1:9" x14ac:dyDescent="0.2">
      <c r="B27" s="17" t="s">
        <v>134</v>
      </c>
      <c r="C27" s="28">
        <f>SUM(C9,C10,C12,C17)</f>
        <v>74630110.741695523</v>
      </c>
      <c r="D27" s="28">
        <f>('T25 Costs'!K36)-('T26 Residual Value'!G36+'T26 Residual Value'!H36)</f>
        <v>20274503.555177897</v>
      </c>
      <c r="E27" s="526">
        <f>C27/D27</f>
        <v>3.6809833857873069</v>
      </c>
      <c r="F27" s="31">
        <f>C27-D27</f>
        <v>54355607.186517626</v>
      </c>
    </row>
    <row r="28" spans="1:9" ht="13.5" thickBot="1" x14ac:dyDescent="0.25">
      <c r="B28" s="80" t="s">
        <v>0</v>
      </c>
      <c r="C28" s="203">
        <f>SUM(C26:C27)</f>
        <v>87185811.953138456</v>
      </c>
      <c r="D28" s="203">
        <f>SUM(D26:D27)</f>
        <v>30488727.636006344</v>
      </c>
      <c r="E28" s="527">
        <f>C28/D28</f>
        <v>2.8596080818464338</v>
      </c>
      <c r="F28" s="528">
        <f>C28-D28</f>
        <v>56697084.317132115</v>
      </c>
    </row>
    <row r="29" spans="1:9" ht="13.5" thickBot="1" x14ac:dyDescent="0.25"/>
    <row r="30" spans="1:9" ht="13.5" hidden="1" thickBot="1" x14ac:dyDescent="0.25">
      <c r="B30" s="205" t="s">
        <v>170</v>
      </c>
      <c r="C30" s="206" t="s">
        <v>249</v>
      </c>
      <c r="D30" s="206" t="s">
        <v>250</v>
      </c>
      <c r="E30" s="207" t="s">
        <v>155</v>
      </c>
    </row>
    <row r="31" spans="1:9" ht="13.5" hidden="1" thickBot="1" x14ac:dyDescent="0.25">
      <c r="B31" s="17" t="s">
        <v>123</v>
      </c>
      <c r="C31" s="208">
        <f t="shared" ref="C31:D33" si="1">(ROUND(C26/1000000,1))</f>
        <v>12.6</v>
      </c>
      <c r="D31" s="208">
        <f t="shared" si="1"/>
        <v>10.199999999999999</v>
      </c>
      <c r="E31" s="210">
        <f>E26</f>
        <v>1.2292369065026985</v>
      </c>
    </row>
    <row r="32" spans="1:9" ht="13.5" hidden="1" thickBot="1" x14ac:dyDescent="0.25">
      <c r="B32" s="17" t="s">
        <v>134</v>
      </c>
      <c r="C32" s="208">
        <f t="shared" si="1"/>
        <v>74.599999999999994</v>
      </c>
      <c r="D32" s="208">
        <f t="shared" si="1"/>
        <v>20.3</v>
      </c>
      <c r="E32" s="210">
        <f>E27</f>
        <v>3.6809833857873069</v>
      </c>
    </row>
    <row r="33" spans="2:6" ht="13.5" hidden="1" thickBot="1" x14ac:dyDescent="0.25">
      <c r="B33" s="80" t="s">
        <v>0</v>
      </c>
      <c r="C33" s="209">
        <f t="shared" si="1"/>
        <v>87.2</v>
      </c>
      <c r="D33" s="209">
        <f t="shared" si="1"/>
        <v>30.5</v>
      </c>
      <c r="E33" s="211">
        <f>E28</f>
        <v>2.8596080818464338</v>
      </c>
    </row>
    <row r="34" spans="2:6" x14ac:dyDescent="0.2">
      <c r="C34" s="407" t="s">
        <v>132</v>
      </c>
    </row>
    <row r="35" spans="2:6" ht="13.5" thickBot="1" x14ac:dyDescent="0.25">
      <c r="C35" s="408">
        <f>C20-C21</f>
        <v>56697084.317132115</v>
      </c>
    </row>
    <row r="37" spans="2:6" ht="13.5" thickBot="1" x14ac:dyDescent="0.25"/>
    <row r="38" spans="2:6" ht="57.75" thickBot="1" x14ac:dyDescent="0.25">
      <c r="B38" s="529" t="s">
        <v>377</v>
      </c>
      <c r="C38" s="530" t="s">
        <v>378</v>
      </c>
      <c r="D38" s="531" t="s">
        <v>379</v>
      </c>
      <c r="E38" s="530" t="s">
        <v>380</v>
      </c>
      <c r="F38" s="531" t="s">
        <v>381</v>
      </c>
    </row>
    <row r="39" spans="2:6" ht="13.5" thickBot="1" x14ac:dyDescent="0.25">
      <c r="B39" s="532" t="s">
        <v>382</v>
      </c>
      <c r="C39" s="535">
        <v>2.803146421241081</v>
      </c>
      <c r="D39" s="536">
        <v>56697084.317132115</v>
      </c>
      <c r="E39" s="533" t="s">
        <v>383</v>
      </c>
      <c r="F39" s="534" t="s">
        <v>383</v>
      </c>
    </row>
    <row r="40" spans="2:6" ht="13.5" thickBot="1" x14ac:dyDescent="0.25">
      <c r="B40" s="532" t="s">
        <v>384</v>
      </c>
      <c r="C40" s="533">
        <v>4.42</v>
      </c>
      <c r="D40" s="536">
        <v>119024000</v>
      </c>
      <c r="E40" s="537">
        <f>D40-D39</f>
        <v>62326915.682867885</v>
      </c>
      <c r="F40" s="538">
        <f>E40/D39</f>
        <v>1.0992966646088114</v>
      </c>
    </row>
    <row r="41" spans="2:6" ht="13.5" thickBot="1" x14ac:dyDescent="0.25">
      <c r="B41" s="532" t="s">
        <v>385</v>
      </c>
      <c r="C41" s="533">
        <v>2.5099999999999998</v>
      </c>
      <c r="D41" s="536">
        <v>47619000</v>
      </c>
      <c r="E41" s="537">
        <f>D41-D39</f>
        <v>-9078084.3171321154</v>
      </c>
      <c r="F41" s="538">
        <f>E41/D39</f>
        <v>-0.16011554079843568</v>
      </c>
    </row>
    <row r="42" spans="2:6" ht="13.5" thickBot="1" x14ac:dyDescent="0.25">
      <c r="B42" s="532" t="s">
        <v>386</v>
      </c>
      <c r="C42" s="539">
        <f>E26</f>
        <v>1.2292369065026985</v>
      </c>
      <c r="D42" s="536">
        <f>F26</f>
        <v>2341477.1306144819</v>
      </c>
      <c r="E42" s="537">
        <f>D42-D39</f>
        <v>-54355607.186517633</v>
      </c>
      <c r="F42" s="538">
        <f>E42/D39</f>
        <v>-0.95870198337682488</v>
      </c>
    </row>
    <row r="43" spans="2:6" ht="13.5" thickBot="1" x14ac:dyDescent="0.25">
      <c r="B43" s="532" t="s">
        <v>387</v>
      </c>
      <c r="C43" s="539">
        <f>E27</f>
        <v>3.6809833857873069</v>
      </c>
      <c r="D43" s="536">
        <f>F27</f>
        <v>54355607.186517626</v>
      </c>
      <c r="E43" s="537">
        <f>D43-D39</f>
        <v>-2341477.1306144893</v>
      </c>
      <c r="F43" s="538">
        <f>E43/D39</f>
        <v>-4.129801662317522E-2</v>
      </c>
    </row>
  </sheetData>
  <mergeCells count="19">
    <mergeCell ref="A20:B20"/>
    <mergeCell ref="A21:B21"/>
    <mergeCell ref="A1:C1"/>
    <mergeCell ref="A2:C2"/>
    <mergeCell ref="A23:B23"/>
    <mergeCell ref="A4:B4"/>
    <mergeCell ref="A7:B7"/>
    <mergeCell ref="A13:B13"/>
    <mergeCell ref="A15:B15"/>
    <mergeCell ref="A18:B18"/>
    <mergeCell ref="G20:H20"/>
    <mergeCell ref="G21:H21"/>
    <mergeCell ref="G23:H23"/>
    <mergeCell ref="G2:I2"/>
    <mergeCell ref="G4:H4"/>
    <mergeCell ref="G7:H7"/>
    <mergeCell ref="G13:H13"/>
    <mergeCell ref="G15:H15"/>
    <mergeCell ref="G18:H18"/>
  </mergeCells>
  <pageMargins left="0.25" right="0.25" top="1" bottom="1" header="0.5" footer="0.5"/>
  <pageSetup orientation="landscape" r:id="rId1"/>
  <headerFooter alignWithMargins="0"/>
  <colBreaks count="1" manualBreakCount="1">
    <brk id="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pane xSplit="2" topLeftCell="C1" activePane="topRight" state="frozen"/>
      <selection pane="topRight"/>
    </sheetView>
  </sheetViews>
  <sheetFormatPr defaultRowHeight="12" x14ac:dyDescent="0.2"/>
  <cols>
    <col min="1" max="2" width="8.7109375" style="235" customWidth="1"/>
    <col min="3" max="6" width="12.7109375" style="236" customWidth="1"/>
    <col min="7" max="7" width="9.140625" style="239"/>
    <col min="8" max="16384" width="9.140625" style="236"/>
  </cols>
  <sheetData>
    <row r="1" spans="1:6" ht="48" x14ac:dyDescent="0.2">
      <c r="A1" s="240" t="s">
        <v>130</v>
      </c>
      <c r="B1" s="101" t="s">
        <v>2</v>
      </c>
      <c r="C1" s="101" t="s">
        <v>21</v>
      </c>
      <c r="D1" s="101" t="s">
        <v>23</v>
      </c>
      <c r="E1" s="101" t="s">
        <v>24</v>
      </c>
      <c r="F1" s="156" t="s">
        <v>34</v>
      </c>
    </row>
    <row r="2" spans="1:6" x14ac:dyDescent="0.2">
      <c r="A2" s="246">
        <v>-1</v>
      </c>
      <c r="B2" s="71">
        <v>2018</v>
      </c>
      <c r="C2" s="49">
        <f>'T5 Avoided Truck Miles'!H3</f>
        <v>0</v>
      </c>
      <c r="D2" s="40">
        <f>+'T3 Inputs'!B$27</f>
        <v>2.541866168224299E-2</v>
      </c>
      <c r="E2" s="49">
        <f>C2*D2</f>
        <v>0</v>
      </c>
      <c r="F2" s="157">
        <f>E2/((1+'T3 Inputs'!$B$4)^(B2-B$2))</f>
        <v>0</v>
      </c>
    </row>
    <row r="3" spans="1:6" x14ac:dyDescent="0.2">
      <c r="A3" s="246">
        <f>A2+1</f>
        <v>0</v>
      </c>
      <c r="B3" s="70">
        <f>B2+1</f>
        <v>2019</v>
      </c>
      <c r="C3" s="49">
        <f>'T5 Avoided Truck Miles'!H4</f>
        <v>0</v>
      </c>
      <c r="D3" s="40">
        <f>+'T3 Inputs'!B$27</f>
        <v>2.541866168224299E-2</v>
      </c>
      <c r="E3" s="49">
        <f>C3*D3</f>
        <v>0</v>
      </c>
      <c r="F3" s="157">
        <f>E3/((1+'T3 Inputs'!$B$4)^(B3-B$2))</f>
        <v>0</v>
      </c>
    </row>
    <row r="4" spans="1:6" x14ac:dyDescent="0.2">
      <c r="A4" s="246">
        <f t="shared" ref="A4:A33" si="0">A3+1</f>
        <v>1</v>
      </c>
      <c r="B4" s="70">
        <f t="shared" ref="B4:B33" si="1">B3+1</f>
        <v>2020</v>
      </c>
      <c r="C4" s="49">
        <f>'T5 Avoided Truck Miles'!H5</f>
        <v>203661.28172118665</v>
      </c>
      <c r="D4" s="40">
        <f>+'T3 Inputs'!B$27</f>
        <v>2.541866168224299E-2</v>
      </c>
      <c r="E4" s="49">
        <f>C4*D4</f>
        <v>5176.7972178428217</v>
      </c>
      <c r="F4" s="157">
        <f>E4/((1+'T3 Inputs'!$B$4)^(B4-B$2))</f>
        <v>4521.6151784809344</v>
      </c>
    </row>
    <row r="5" spans="1:6" x14ac:dyDescent="0.2">
      <c r="A5" s="246">
        <f t="shared" si="0"/>
        <v>2</v>
      </c>
      <c r="B5" s="70">
        <f t="shared" si="1"/>
        <v>2021</v>
      </c>
      <c r="C5" s="8">
        <f>'T5 Avoided Truck Miles'!H6</f>
        <v>221445.43826976634</v>
      </c>
      <c r="D5" s="38">
        <f>+'T3 Inputs'!B$27</f>
        <v>2.541866168224299E-2</v>
      </c>
      <c r="E5" s="44">
        <f t="shared" ref="E5:E23" si="2">C5*D5</f>
        <v>5628.8466764552149</v>
      </c>
      <c r="F5" s="158">
        <f>E5/((1+'T3 Inputs'!$B$4)^(B5-B$2))</f>
        <v>4594.8155913345199</v>
      </c>
    </row>
    <row r="6" spans="1:6" x14ac:dyDescent="0.2">
      <c r="A6" s="246">
        <f t="shared" si="0"/>
        <v>3</v>
      </c>
      <c r="B6" s="70">
        <f t="shared" si="1"/>
        <v>2022</v>
      </c>
      <c r="C6" s="8">
        <f>'T5 Avoided Truck Miles'!H7</f>
        <v>221445.43826976634</v>
      </c>
      <c r="D6" s="38">
        <f>+'T3 Inputs'!B$27</f>
        <v>2.541866168224299E-2</v>
      </c>
      <c r="E6" s="44">
        <f t="shared" si="2"/>
        <v>5628.8466764552149</v>
      </c>
      <c r="F6" s="158">
        <f>E6/((1+'T3 Inputs'!$B$4)^(B6-B$2))</f>
        <v>4294.2201788173088</v>
      </c>
    </row>
    <row r="7" spans="1:6" x14ac:dyDescent="0.2">
      <c r="A7" s="246">
        <f t="shared" si="0"/>
        <v>4</v>
      </c>
      <c r="B7" s="70">
        <f t="shared" si="1"/>
        <v>2023</v>
      </c>
      <c r="C7" s="8">
        <f>'T5 Avoided Truck Miles'!H8</f>
        <v>221445.43826976634</v>
      </c>
      <c r="D7" s="38">
        <f>+'T3 Inputs'!B$27</f>
        <v>2.541866168224299E-2</v>
      </c>
      <c r="E7" s="44">
        <f t="shared" si="2"/>
        <v>5628.8466764552149</v>
      </c>
      <c r="F7" s="158">
        <f>E7/((1+'T3 Inputs'!$B$4)^(B7-B$2))</f>
        <v>4013.2898867451481</v>
      </c>
    </row>
    <row r="8" spans="1:6" x14ac:dyDescent="0.2">
      <c r="A8" s="246">
        <f t="shared" si="0"/>
        <v>5</v>
      </c>
      <c r="B8" s="70">
        <f t="shared" si="1"/>
        <v>2024</v>
      </c>
      <c r="C8" s="8">
        <f>'T5 Avoided Truck Miles'!H9</f>
        <v>221445.43826976634</v>
      </c>
      <c r="D8" s="38">
        <f>+'T3 Inputs'!B$27</f>
        <v>2.541866168224299E-2</v>
      </c>
      <c r="E8" s="44">
        <f t="shared" si="2"/>
        <v>5628.8466764552149</v>
      </c>
      <c r="F8" s="158">
        <f>E8/((1+'T3 Inputs'!$B$4)^(B8-B$2))</f>
        <v>3750.7382119113536</v>
      </c>
    </row>
    <row r="9" spans="1:6" x14ac:dyDescent="0.2">
      <c r="A9" s="246">
        <f t="shared" si="0"/>
        <v>6</v>
      </c>
      <c r="B9" s="70">
        <f t="shared" si="1"/>
        <v>2025</v>
      </c>
      <c r="C9" s="8">
        <f>'T5 Avoided Truck Miles'!H10</f>
        <v>221445.43826976634</v>
      </c>
      <c r="D9" s="38">
        <f>+'T3 Inputs'!B$27</f>
        <v>2.541866168224299E-2</v>
      </c>
      <c r="E9" s="44">
        <f t="shared" si="2"/>
        <v>5628.8466764552149</v>
      </c>
      <c r="F9" s="158">
        <f>E9/((1+'T3 Inputs'!$B$4)^(B9-B$2))</f>
        <v>3505.3628148704238</v>
      </c>
    </row>
    <row r="10" spans="1:6" x14ac:dyDescent="0.2">
      <c r="A10" s="246">
        <f t="shared" si="0"/>
        <v>7</v>
      </c>
      <c r="B10" s="70">
        <f t="shared" si="1"/>
        <v>2026</v>
      </c>
      <c r="C10" s="8">
        <f>'T5 Avoided Truck Miles'!H11</f>
        <v>221445.43826976634</v>
      </c>
      <c r="D10" s="38">
        <f>+'T3 Inputs'!B$27</f>
        <v>2.541866168224299E-2</v>
      </c>
      <c r="E10" s="44">
        <f t="shared" si="2"/>
        <v>5628.8466764552149</v>
      </c>
      <c r="F10" s="158">
        <f>E10/((1+'T3 Inputs'!$B$4)^(B10-B$2))</f>
        <v>3276.0400138975924</v>
      </c>
    </row>
    <row r="11" spans="1:6" x14ac:dyDescent="0.2">
      <c r="A11" s="246">
        <f t="shared" si="0"/>
        <v>8</v>
      </c>
      <c r="B11" s="70">
        <f t="shared" si="1"/>
        <v>2027</v>
      </c>
      <c r="C11" s="8">
        <f>'T5 Avoided Truck Miles'!H12</f>
        <v>221445.43826976634</v>
      </c>
      <c r="D11" s="38">
        <f>+'T3 Inputs'!B$27</f>
        <v>2.541866168224299E-2</v>
      </c>
      <c r="E11" s="44">
        <f t="shared" si="2"/>
        <v>5628.8466764552149</v>
      </c>
      <c r="F11" s="158">
        <f>E11/((1+'T3 Inputs'!$B$4)^(B11-B$2))</f>
        <v>3061.7196391566281</v>
      </c>
    </row>
    <row r="12" spans="1:6" x14ac:dyDescent="0.2">
      <c r="A12" s="246">
        <f t="shared" si="0"/>
        <v>9</v>
      </c>
      <c r="B12" s="70">
        <f t="shared" si="1"/>
        <v>2028</v>
      </c>
      <c r="C12" s="8">
        <f>'T5 Avoided Truck Miles'!H13</f>
        <v>221445.43826976634</v>
      </c>
      <c r="D12" s="38">
        <f>+'T3 Inputs'!B$27</f>
        <v>2.541866168224299E-2</v>
      </c>
      <c r="E12" s="44">
        <f t="shared" si="2"/>
        <v>5628.8466764552149</v>
      </c>
      <c r="F12" s="158">
        <f>E12/((1+'T3 Inputs'!$B$4)^(B12-B$2))</f>
        <v>2861.4202235108673</v>
      </c>
    </row>
    <row r="13" spans="1:6" x14ac:dyDescent="0.2">
      <c r="A13" s="246">
        <f t="shared" si="0"/>
        <v>10</v>
      </c>
      <c r="B13" s="70">
        <f t="shared" si="1"/>
        <v>2029</v>
      </c>
      <c r="C13" s="8">
        <f>'T5 Avoided Truck Miles'!H14</f>
        <v>221445.43826976634</v>
      </c>
      <c r="D13" s="38">
        <f>+'T3 Inputs'!B$27</f>
        <v>2.541866168224299E-2</v>
      </c>
      <c r="E13" s="44">
        <f t="shared" si="2"/>
        <v>5628.8466764552149</v>
      </c>
      <c r="F13" s="158">
        <f>E13/((1+'T3 Inputs'!$B$4)^(B13-B$2))</f>
        <v>2674.2245079540812</v>
      </c>
    </row>
    <row r="14" spans="1:6" x14ac:dyDescent="0.2">
      <c r="A14" s="246">
        <f t="shared" si="0"/>
        <v>11</v>
      </c>
      <c r="B14" s="70">
        <f t="shared" si="1"/>
        <v>2030</v>
      </c>
      <c r="C14" s="8">
        <f>'T5 Avoided Truck Miles'!H15</f>
        <v>221445.43826976634</v>
      </c>
      <c r="D14" s="38">
        <f>+'T3 Inputs'!B$27</f>
        <v>2.541866168224299E-2</v>
      </c>
      <c r="E14" s="44">
        <f t="shared" si="2"/>
        <v>5628.8466764552149</v>
      </c>
      <c r="F14" s="158">
        <f>E14/((1+'T3 Inputs'!$B$4)^(B14-B$2))</f>
        <v>2499.2752410785811</v>
      </c>
    </row>
    <row r="15" spans="1:6" x14ac:dyDescent="0.2">
      <c r="A15" s="246">
        <f t="shared" si="0"/>
        <v>12</v>
      </c>
      <c r="B15" s="70">
        <f t="shared" si="1"/>
        <v>2031</v>
      </c>
      <c r="C15" s="8">
        <f>'T5 Avoided Truck Miles'!H16</f>
        <v>221445.43826976634</v>
      </c>
      <c r="D15" s="38">
        <f>+'T3 Inputs'!B$27</f>
        <v>2.541866168224299E-2</v>
      </c>
      <c r="E15" s="44">
        <f t="shared" si="2"/>
        <v>5628.8466764552149</v>
      </c>
      <c r="F15" s="158">
        <f>E15/((1+'T3 Inputs'!$B$4)^(B15-B$2))</f>
        <v>2335.7712533444683</v>
      </c>
    </row>
    <row r="16" spans="1:6" x14ac:dyDescent="0.2">
      <c r="A16" s="246">
        <f t="shared" si="0"/>
        <v>13</v>
      </c>
      <c r="B16" s="70">
        <f t="shared" si="1"/>
        <v>2032</v>
      </c>
      <c r="C16" s="8">
        <f>'T5 Avoided Truck Miles'!H17</f>
        <v>221445.43826976634</v>
      </c>
      <c r="D16" s="38">
        <f>+'T3 Inputs'!B$27</f>
        <v>2.541866168224299E-2</v>
      </c>
      <c r="E16" s="44">
        <f t="shared" si="2"/>
        <v>5628.8466764552149</v>
      </c>
      <c r="F16" s="158">
        <f>E16/((1+'T3 Inputs'!$B$4)^(B16-B$2))</f>
        <v>2182.9637881724002</v>
      </c>
    </row>
    <row r="17" spans="1:7" x14ac:dyDescent="0.2">
      <c r="A17" s="246">
        <f t="shared" si="0"/>
        <v>14</v>
      </c>
      <c r="B17" s="70">
        <f t="shared" si="1"/>
        <v>2033</v>
      </c>
      <c r="C17" s="8">
        <f>'T5 Avoided Truck Miles'!H18</f>
        <v>221445.43826976634</v>
      </c>
      <c r="D17" s="38">
        <f>+'T3 Inputs'!B$27</f>
        <v>2.541866168224299E-2</v>
      </c>
      <c r="E17" s="44">
        <f t="shared" si="2"/>
        <v>5628.8466764552149</v>
      </c>
      <c r="F17" s="158">
        <f>E17/((1+'T3 Inputs'!$B$4)^(B17-B$2))</f>
        <v>2040.1530730583179</v>
      </c>
    </row>
    <row r="18" spans="1:7" x14ac:dyDescent="0.2">
      <c r="A18" s="246">
        <f t="shared" si="0"/>
        <v>15</v>
      </c>
      <c r="B18" s="70">
        <f t="shared" si="1"/>
        <v>2034</v>
      </c>
      <c r="C18" s="8">
        <f>'T5 Avoided Truck Miles'!H19</f>
        <v>221445.43826976634</v>
      </c>
      <c r="D18" s="38">
        <f>+'T3 Inputs'!B$27</f>
        <v>2.541866168224299E-2</v>
      </c>
      <c r="E18" s="44">
        <f t="shared" si="2"/>
        <v>5628.8466764552149</v>
      </c>
      <c r="F18" s="158">
        <f>E18/((1+'T3 Inputs'!$B$4)^(B18-B$2))</f>
        <v>1906.6851150077739</v>
      </c>
    </row>
    <row r="19" spans="1:7" x14ac:dyDescent="0.2">
      <c r="A19" s="246">
        <f t="shared" si="0"/>
        <v>16</v>
      </c>
      <c r="B19" s="70">
        <f t="shared" si="1"/>
        <v>2035</v>
      </c>
      <c r="C19" s="8">
        <f>'T5 Avoided Truck Miles'!H20</f>
        <v>221445.43826976634</v>
      </c>
      <c r="D19" s="38">
        <f>+'T3 Inputs'!B$27</f>
        <v>2.541866168224299E-2</v>
      </c>
      <c r="E19" s="44">
        <f t="shared" si="2"/>
        <v>5628.8466764552149</v>
      </c>
      <c r="F19" s="158">
        <f>E19/((1+'T3 Inputs'!$B$4)^(B19-B$2))</f>
        <v>1781.948705614742</v>
      </c>
    </row>
    <row r="20" spans="1:7" x14ac:dyDescent="0.2">
      <c r="A20" s="246">
        <f t="shared" si="0"/>
        <v>17</v>
      </c>
      <c r="B20" s="70">
        <f t="shared" si="1"/>
        <v>2036</v>
      </c>
      <c r="C20" s="8">
        <f>'T5 Avoided Truck Miles'!H21</f>
        <v>221445.43826976634</v>
      </c>
      <c r="D20" s="38">
        <f>+'T3 Inputs'!B$27</f>
        <v>2.541866168224299E-2</v>
      </c>
      <c r="E20" s="44">
        <f t="shared" si="2"/>
        <v>5628.8466764552149</v>
      </c>
      <c r="F20" s="158">
        <f>E20/((1+'T3 Inputs'!$B$4)^(B20-B$2))</f>
        <v>1665.3726220698522</v>
      </c>
    </row>
    <row r="21" spans="1:7" x14ac:dyDescent="0.2">
      <c r="A21" s="246">
        <f t="shared" si="0"/>
        <v>18</v>
      </c>
      <c r="B21" s="70">
        <f t="shared" si="1"/>
        <v>2037</v>
      </c>
      <c r="C21" s="8">
        <f>'T5 Avoided Truck Miles'!H22</f>
        <v>221445.43826976634</v>
      </c>
      <c r="D21" s="38">
        <f>+'T3 Inputs'!B$27</f>
        <v>2.541866168224299E-2</v>
      </c>
      <c r="E21" s="44">
        <f t="shared" si="2"/>
        <v>5628.8466764552149</v>
      </c>
      <c r="F21" s="158">
        <f>E21/((1+'T3 Inputs'!$B$4)^(B21-B$2))</f>
        <v>1556.4230112802356</v>
      </c>
    </row>
    <row r="22" spans="1:7" x14ac:dyDescent="0.2">
      <c r="A22" s="246">
        <f t="shared" si="0"/>
        <v>19</v>
      </c>
      <c r="B22" s="70">
        <f t="shared" si="1"/>
        <v>2038</v>
      </c>
      <c r="C22" s="8">
        <f>'T5 Avoided Truck Miles'!H23</f>
        <v>221445.43826976634</v>
      </c>
      <c r="D22" s="38">
        <f>+'T3 Inputs'!B$27</f>
        <v>2.541866168224299E-2</v>
      </c>
      <c r="E22" s="44">
        <f t="shared" si="2"/>
        <v>5628.8466764552149</v>
      </c>
      <c r="F22" s="158">
        <f>E22/((1+'T3 Inputs'!$B$4)^(B22-B$2))</f>
        <v>1454.6009451217158</v>
      </c>
    </row>
    <row r="23" spans="1:7" x14ac:dyDescent="0.2">
      <c r="A23" s="246">
        <f t="shared" si="0"/>
        <v>20</v>
      </c>
      <c r="B23" s="70">
        <f t="shared" si="1"/>
        <v>2039</v>
      </c>
      <c r="C23" s="8">
        <f>'T5 Avoided Truck Miles'!H24</f>
        <v>221445.43826976634</v>
      </c>
      <c r="D23" s="38">
        <f>+'T3 Inputs'!B$27</f>
        <v>2.541866168224299E-2</v>
      </c>
      <c r="E23" s="44">
        <f t="shared" si="2"/>
        <v>5628.8466764552149</v>
      </c>
      <c r="F23" s="158">
        <f>E23/((1+'T3 Inputs'!$B$4)^(B23-B$2))</f>
        <v>1359.4401356277715</v>
      </c>
      <c r="G23" s="236"/>
    </row>
    <row r="24" spans="1:7" x14ac:dyDescent="0.2">
      <c r="A24" s="246">
        <f t="shared" si="0"/>
        <v>21</v>
      </c>
      <c r="B24" s="70">
        <f t="shared" si="1"/>
        <v>2040</v>
      </c>
      <c r="C24" s="8">
        <f>'T5 Avoided Truck Miles'!H25</f>
        <v>221445.43826976634</v>
      </c>
      <c r="D24" s="38">
        <f>+'T3 Inputs'!B$27</f>
        <v>2.541866168224299E-2</v>
      </c>
      <c r="E24" s="44">
        <f t="shared" ref="E24:E33" si="3">C24*D24</f>
        <v>5628.8466764552149</v>
      </c>
      <c r="F24" s="158">
        <f>E24/((1+'T3 Inputs'!$B$4)^(B24-B$2))</f>
        <v>1270.504799652123</v>
      </c>
      <c r="G24" s="236"/>
    </row>
    <row r="25" spans="1:7" x14ac:dyDescent="0.2">
      <c r="A25" s="246">
        <f t="shared" si="0"/>
        <v>22</v>
      </c>
      <c r="B25" s="70">
        <f t="shared" si="1"/>
        <v>2041</v>
      </c>
      <c r="C25" s="8">
        <f>'T5 Avoided Truck Miles'!H26</f>
        <v>221445.43826976634</v>
      </c>
      <c r="D25" s="38">
        <f>+'T3 Inputs'!B$27</f>
        <v>2.541866168224299E-2</v>
      </c>
      <c r="E25" s="44">
        <f t="shared" si="3"/>
        <v>5628.8466764552149</v>
      </c>
      <c r="F25" s="158">
        <f>E25/((1+'T3 Inputs'!$B$4)^(B25-B$2))</f>
        <v>1187.3876632262832</v>
      </c>
      <c r="G25" s="236"/>
    </row>
    <row r="26" spans="1:7" x14ac:dyDescent="0.2">
      <c r="A26" s="246">
        <f t="shared" si="0"/>
        <v>23</v>
      </c>
      <c r="B26" s="70">
        <f t="shared" si="1"/>
        <v>2042</v>
      </c>
      <c r="C26" s="8">
        <f>'T5 Avoided Truck Miles'!H27</f>
        <v>221445.43826976634</v>
      </c>
      <c r="D26" s="38">
        <f>+'T3 Inputs'!B$27</f>
        <v>2.541866168224299E-2</v>
      </c>
      <c r="E26" s="44">
        <f t="shared" si="3"/>
        <v>5628.8466764552149</v>
      </c>
      <c r="F26" s="158">
        <f>E26/((1+'T3 Inputs'!$B$4)^(B26-B$2))</f>
        <v>1109.7080964731617</v>
      </c>
      <c r="G26" s="236"/>
    </row>
    <row r="27" spans="1:7" x14ac:dyDescent="0.2">
      <c r="A27" s="246">
        <f t="shared" si="0"/>
        <v>24</v>
      </c>
      <c r="B27" s="70">
        <f t="shared" si="1"/>
        <v>2043</v>
      </c>
      <c r="C27" s="8">
        <f>'T5 Avoided Truck Miles'!H28</f>
        <v>221445.43826976634</v>
      </c>
      <c r="D27" s="38">
        <f>+'T3 Inputs'!B$27</f>
        <v>2.541866168224299E-2</v>
      </c>
      <c r="E27" s="44">
        <f t="shared" si="3"/>
        <v>5628.8466764552149</v>
      </c>
      <c r="F27" s="158">
        <f>E27/((1+'T3 Inputs'!$B$4)^(B27-B$2))</f>
        <v>1037.1103705356652</v>
      </c>
      <c r="G27" s="236"/>
    </row>
    <row r="28" spans="1:7" x14ac:dyDescent="0.2">
      <c r="A28" s="246">
        <f t="shared" si="0"/>
        <v>25</v>
      </c>
      <c r="B28" s="70">
        <f t="shared" si="1"/>
        <v>2044</v>
      </c>
      <c r="C28" s="8">
        <f>'T5 Avoided Truck Miles'!H29</f>
        <v>221445.43826976634</v>
      </c>
      <c r="D28" s="38">
        <f>+'T3 Inputs'!B$27</f>
        <v>2.541866168224299E-2</v>
      </c>
      <c r="E28" s="44">
        <f t="shared" si="3"/>
        <v>5628.8466764552149</v>
      </c>
      <c r="F28" s="158">
        <f>E28/((1+'T3 Inputs'!$B$4)^(B28-B$2))</f>
        <v>969.26202853800487</v>
      </c>
      <c r="G28" s="236"/>
    </row>
    <row r="29" spans="1:7" x14ac:dyDescent="0.2">
      <c r="A29" s="246">
        <f t="shared" si="0"/>
        <v>26</v>
      </c>
      <c r="B29" s="70">
        <f t="shared" si="1"/>
        <v>2045</v>
      </c>
      <c r="C29" s="8">
        <f>'T5 Avoided Truck Miles'!H30</f>
        <v>221445.43826976634</v>
      </c>
      <c r="D29" s="38">
        <f>+'T3 Inputs'!B$27</f>
        <v>2.541866168224299E-2</v>
      </c>
      <c r="E29" s="44">
        <f t="shared" si="3"/>
        <v>5628.8466764552149</v>
      </c>
      <c r="F29" s="158">
        <f>E29/((1+'T3 Inputs'!$B$4)^(B29-B$2))</f>
        <v>905.85236311963058</v>
      </c>
      <c r="G29" s="236"/>
    </row>
    <row r="30" spans="1:7" x14ac:dyDescent="0.2">
      <c r="A30" s="246">
        <f t="shared" si="0"/>
        <v>27</v>
      </c>
      <c r="B30" s="70">
        <f t="shared" si="1"/>
        <v>2046</v>
      </c>
      <c r="C30" s="8">
        <f>'T5 Avoided Truck Miles'!H31</f>
        <v>221445.43826976634</v>
      </c>
      <c r="D30" s="38">
        <f>+'T3 Inputs'!B$27</f>
        <v>2.541866168224299E-2</v>
      </c>
      <c r="E30" s="44">
        <f t="shared" si="3"/>
        <v>5628.8466764552149</v>
      </c>
      <c r="F30" s="158">
        <f>E30/((1+'T3 Inputs'!$B$4)^(B30-B$2))</f>
        <v>846.59099356974832</v>
      </c>
      <c r="G30" s="236"/>
    </row>
    <row r="31" spans="1:7" x14ac:dyDescent="0.2">
      <c r="A31" s="246">
        <f t="shared" si="0"/>
        <v>28</v>
      </c>
      <c r="B31" s="70">
        <f t="shared" si="1"/>
        <v>2047</v>
      </c>
      <c r="C31" s="8">
        <f>'T5 Avoided Truck Miles'!H32</f>
        <v>221445.43826976634</v>
      </c>
      <c r="D31" s="38">
        <f>+'T3 Inputs'!B$27</f>
        <v>2.541866168224299E-2</v>
      </c>
      <c r="E31" s="44">
        <f t="shared" si="3"/>
        <v>5628.8466764552149</v>
      </c>
      <c r="F31" s="158">
        <f>E31/((1+'T3 Inputs'!$B$4)^(B31-B$2))</f>
        <v>791.20653604649374</v>
      </c>
      <c r="G31" s="236"/>
    </row>
    <row r="32" spans="1:7" x14ac:dyDescent="0.2">
      <c r="A32" s="246">
        <f t="shared" si="0"/>
        <v>29</v>
      </c>
      <c r="B32" s="70">
        <f t="shared" si="1"/>
        <v>2048</v>
      </c>
      <c r="C32" s="8">
        <f>'T5 Avoided Truck Miles'!H33</f>
        <v>221445.43826976634</v>
      </c>
      <c r="D32" s="38">
        <f>+'T3 Inputs'!B$27</f>
        <v>2.541866168224299E-2</v>
      </c>
      <c r="E32" s="44">
        <f t="shared" si="3"/>
        <v>5628.8466764552149</v>
      </c>
      <c r="F32" s="158">
        <f>E32/((1+'T3 Inputs'!$B$4)^(B32-B$2))</f>
        <v>739.44536079111572</v>
      </c>
      <c r="G32" s="236"/>
    </row>
    <row r="33" spans="1:7" x14ac:dyDescent="0.2">
      <c r="A33" s="246">
        <f t="shared" si="0"/>
        <v>30</v>
      </c>
      <c r="B33" s="70">
        <f t="shared" si="1"/>
        <v>2049</v>
      </c>
      <c r="C33" s="8">
        <f>'T5 Avoided Truck Miles'!H34</f>
        <v>221445.43826976634</v>
      </c>
      <c r="D33" s="38">
        <f>+'T3 Inputs'!B$27</f>
        <v>2.541866168224299E-2</v>
      </c>
      <c r="E33" s="44">
        <f t="shared" si="3"/>
        <v>5628.8466764552149</v>
      </c>
      <c r="F33" s="158">
        <f>E33/((1+'T3 Inputs'!$B$4)^(B33-B$2))</f>
        <v>691.07043064590243</v>
      </c>
      <c r="G33" s="236"/>
    </row>
    <row r="34" spans="1:7" ht="12.75" thickBot="1" x14ac:dyDescent="0.25">
      <c r="A34" s="249"/>
      <c r="B34" s="254" t="s">
        <v>0</v>
      </c>
      <c r="C34" s="102">
        <f>SUM(C5:C33)</f>
        <v>6421917.7098232219</v>
      </c>
      <c r="D34" s="160"/>
      <c r="E34" s="104">
        <f>SUM(E5:E33)</f>
        <v>163236.55361720131</v>
      </c>
      <c r="F34" s="161">
        <f>SUM(F5:F33)</f>
        <v>60362.603601171897</v>
      </c>
      <c r="G34" s="236"/>
    </row>
    <row r="35" spans="1:7" ht="12.75" thickBot="1" x14ac:dyDescent="0.25">
      <c r="G35" s="236"/>
    </row>
    <row r="36" spans="1:7" ht="48" x14ac:dyDescent="0.2">
      <c r="A36" s="240" t="s">
        <v>130</v>
      </c>
      <c r="B36" s="101" t="s">
        <v>2</v>
      </c>
      <c r="C36" s="101" t="s">
        <v>21</v>
      </c>
      <c r="D36" s="101" t="s">
        <v>23</v>
      </c>
      <c r="E36" s="101" t="s">
        <v>24</v>
      </c>
      <c r="F36" s="156" t="s">
        <v>375</v>
      </c>
      <c r="G36" s="236"/>
    </row>
    <row r="37" spans="1:7" x14ac:dyDescent="0.2">
      <c r="A37" s="246">
        <f t="shared" ref="A37:B56" si="4">A2</f>
        <v>-1</v>
      </c>
      <c r="B37" s="71">
        <f t="shared" si="4"/>
        <v>2018</v>
      </c>
      <c r="C37" s="316">
        <f>ROUND(C2,-3)</f>
        <v>0</v>
      </c>
      <c r="D37" s="40">
        <f t="shared" ref="D37:D69" si="5">D2</f>
        <v>2.541866168224299E-2</v>
      </c>
      <c r="E37" s="316">
        <f t="shared" ref="E37:F56" si="6">ROUND(E2,-3)</f>
        <v>0</v>
      </c>
      <c r="F37" s="317">
        <f t="shared" si="6"/>
        <v>0</v>
      </c>
    </row>
    <row r="38" spans="1:7" x14ac:dyDescent="0.2">
      <c r="A38" s="246">
        <f t="shared" si="4"/>
        <v>0</v>
      </c>
      <c r="B38" s="70">
        <f t="shared" si="4"/>
        <v>2019</v>
      </c>
      <c r="C38" s="316">
        <f t="shared" ref="C38:C69" si="7">ROUND(C3,-3)</f>
        <v>0</v>
      </c>
      <c r="D38" s="40">
        <f t="shared" si="5"/>
        <v>2.541866168224299E-2</v>
      </c>
      <c r="E38" s="316">
        <f t="shared" si="6"/>
        <v>0</v>
      </c>
      <c r="F38" s="317">
        <f t="shared" si="6"/>
        <v>0</v>
      </c>
    </row>
    <row r="39" spans="1:7" x14ac:dyDescent="0.2">
      <c r="A39" s="246">
        <f t="shared" si="4"/>
        <v>1</v>
      </c>
      <c r="B39" s="70">
        <f t="shared" si="4"/>
        <v>2020</v>
      </c>
      <c r="C39" s="316">
        <f t="shared" si="7"/>
        <v>204000</v>
      </c>
      <c r="D39" s="40">
        <f t="shared" si="5"/>
        <v>2.541866168224299E-2</v>
      </c>
      <c r="E39" s="316">
        <f t="shared" si="6"/>
        <v>5000</v>
      </c>
      <c r="F39" s="317">
        <f t="shared" si="6"/>
        <v>5000</v>
      </c>
    </row>
    <row r="40" spans="1:7" x14ac:dyDescent="0.2">
      <c r="A40" s="246">
        <f t="shared" si="4"/>
        <v>2</v>
      </c>
      <c r="B40" s="70">
        <f t="shared" si="4"/>
        <v>2021</v>
      </c>
      <c r="C40" s="44">
        <f t="shared" si="7"/>
        <v>221000</v>
      </c>
      <c r="D40" s="38">
        <f t="shared" si="5"/>
        <v>2.541866168224299E-2</v>
      </c>
      <c r="E40" s="44">
        <f t="shared" si="6"/>
        <v>6000</v>
      </c>
      <c r="F40" s="158">
        <f t="shared" si="6"/>
        <v>5000</v>
      </c>
    </row>
    <row r="41" spans="1:7" x14ac:dyDescent="0.2">
      <c r="A41" s="246">
        <f t="shared" si="4"/>
        <v>3</v>
      </c>
      <c r="B41" s="70">
        <f t="shared" si="4"/>
        <v>2022</v>
      </c>
      <c r="C41" s="44">
        <f t="shared" si="7"/>
        <v>221000</v>
      </c>
      <c r="D41" s="38">
        <f t="shared" si="5"/>
        <v>2.541866168224299E-2</v>
      </c>
      <c r="E41" s="44">
        <f t="shared" si="6"/>
        <v>6000</v>
      </c>
      <c r="F41" s="158">
        <f t="shared" si="6"/>
        <v>4000</v>
      </c>
    </row>
    <row r="42" spans="1:7" x14ac:dyDescent="0.2">
      <c r="A42" s="246">
        <f t="shared" si="4"/>
        <v>4</v>
      </c>
      <c r="B42" s="70">
        <f t="shared" si="4"/>
        <v>2023</v>
      </c>
      <c r="C42" s="44">
        <f t="shared" si="7"/>
        <v>221000</v>
      </c>
      <c r="D42" s="38">
        <f t="shared" si="5"/>
        <v>2.541866168224299E-2</v>
      </c>
      <c r="E42" s="44">
        <f t="shared" si="6"/>
        <v>6000</v>
      </c>
      <c r="F42" s="158">
        <f t="shared" si="6"/>
        <v>4000</v>
      </c>
    </row>
    <row r="43" spans="1:7" x14ac:dyDescent="0.2">
      <c r="A43" s="246">
        <f t="shared" si="4"/>
        <v>5</v>
      </c>
      <c r="B43" s="70">
        <f t="shared" si="4"/>
        <v>2024</v>
      </c>
      <c r="C43" s="44">
        <f t="shared" si="7"/>
        <v>221000</v>
      </c>
      <c r="D43" s="38">
        <f t="shared" si="5"/>
        <v>2.541866168224299E-2</v>
      </c>
      <c r="E43" s="44">
        <f t="shared" si="6"/>
        <v>6000</v>
      </c>
      <c r="F43" s="158">
        <f t="shared" si="6"/>
        <v>4000</v>
      </c>
    </row>
    <row r="44" spans="1:7" x14ac:dyDescent="0.2">
      <c r="A44" s="246">
        <f t="shared" si="4"/>
        <v>6</v>
      </c>
      <c r="B44" s="70">
        <f t="shared" si="4"/>
        <v>2025</v>
      </c>
      <c r="C44" s="44">
        <f t="shared" si="7"/>
        <v>221000</v>
      </c>
      <c r="D44" s="38">
        <f t="shared" si="5"/>
        <v>2.541866168224299E-2</v>
      </c>
      <c r="E44" s="44">
        <f t="shared" si="6"/>
        <v>6000</v>
      </c>
      <c r="F44" s="158">
        <f t="shared" si="6"/>
        <v>4000</v>
      </c>
    </row>
    <row r="45" spans="1:7" x14ac:dyDescent="0.2">
      <c r="A45" s="246">
        <f t="shared" si="4"/>
        <v>7</v>
      </c>
      <c r="B45" s="70">
        <f t="shared" si="4"/>
        <v>2026</v>
      </c>
      <c r="C45" s="44">
        <f t="shared" si="7"/>
        <v>221000</v>
      </c>
      <c r="D45" s="38">
        <f t="shared" si="5"/>
        <v>2.541866168224299E-2</v>
      </c>
      <c r="E45" s="44">
        <f t="shared" si="6"/>
        <v>6000</v>
      </c>
      <c r="F45" s="158">
        <f t="shared" si="6"/>
        <v>3000</v>
      </c>
    </row>
    <row r="46" spans="1:7" x14ac:dyDescent="0.2">
      <c r="A46" s="246">
        <f t="shared" si="4"/>
        <v>8</v>
      </c>
      <c r="B46" s="70">
        <f t="shared" si="4"/>
        <v>2027</v>
      </c>
      <c r="C46" s="44">
        <f t="shared" si="7"/>
        <v>221000</v>
      </c>
      <c r="D46" s="38">
        <f t="shared" si="5"/>
        <v>2.541866168224299E-2</v>
      </c>
      <c r="E46" s="44">
        <f t="shared" si="6"/>
        <v>6000</v>
      </c>
      <c r="F46" s="158">
        <f t="shared" si="6"/>
        <v>3000</v>
      </c>
    </row>
    <row r="47" spans="1:7" x14ac:dyDescent="0.2">
      <c r="A47" s="246">
        <f t="shared" si="4"/>
        <v>9</v>
      </c>
      <c r="B47" s="70">
        <f t="shared" si="4"/>
        <v>2028</v>
      </c>
      <c r="C47" s="44">
        <f t="shared" si="7"/>
        <v>221000</v>
      </c>
      <c r="D47" s="38">
        <f t="shared" si="5"/>
        <v>2.541866168224299E-2</v>
      </c>
      <c r="E47" s="44">
        <f t="shared" si="6"/>
        <v>6000</v>
      </c>
      <c r="F47" s="158">
        <f t="shared" si="6"/>
        <v>3000</v>
      </c>
    </row>
    <row r="48" spans="1:7" x14ac:dyDescent="0.2">
      <c r="A48" s="246">
        <f t="shared" si="4"/>
        <v>10</v>
      </c>
      <c r="B48" s="70">
        <f t="shared" si="4"/>
        <v>2029</v>
      </c>
      <c r="C48" s="44">
        <f t="shared" si="7"/>
        <v>221000</v>
      </c>
      <c r="D48" s="38">
        <f t="shared" si="5"/>
        <v>2.541866168224299E-2</v>
      </c>
      <c r="E48" s="44">
        <f t="shared" si="6"/>
        <v>6000</v>
      </c>
      <c r="F48" s="158">
        <f t="shared" si="6"/>
        <v>3000</v>
      </c>
    </row>
    <row r="49" spans="1:6" x14ac:dyDescent="0.2">
      <c r="A49" s="246">
        <f t="shared" si="4"/>
        <v>11</v>
      </c>
      <c r="B49" s="70">
        <f t="shared" si="4"/>
        <v>2030</v>
      </c>
      <c r="C49" s="44">
        <f t="shared" si="7"/>
        <v>221000</v>
      </c>
      <c r="D49" s="38">
        <f t="shared" si="5"/>
        <v>2.541866168224299E-2</v>
      </c>
      <c r="E49" s="44">
        <f t="shared" si="6"/>
        <v>6000</v>
      </c>
      <c r="F49" s="158">
        <f t="shared" si="6"/>
        <v>2000</v>
      </c>
    </row>
    <row r="50" spans="1:6" x14ac:dyDescent="0.2">
      <c r="A50" s="246">
        <f t="shared" si="4"/>
        <v>12</v>
      </c>
      <c r="B50" s="70">
        <f t="shared" si="4"/>
        <v>2031</v>
      </c>
      <c r="C50" s="44">
        <f t="shared" si="7"/>
        <v>221000</v>
      </c>
      <c r="D50" s="38">
        <f t="shared" si="5"/>
        <v>2.541866168224299E-2</v>
      </c>
      <c r="E50" s="44">
        <f t="shared" si="6"/>
        <v>6000</v>
      </c>
      <c r="F50" s="158">
        <f t="shared" si="6"/>
        <v>2000</v>
      </c>
    </row>
    <row r="51" spans="1:6" x14ac:dyDescent="0.2">
      <c r="A51" s="246">
        <f t="shared" si="4"/>
        <v>13</v>
      </c>
      <c r="B51" s="70">
        <f t="shared" si="4"/>
        <v>2032</v>
      </c>
      <c r="C51" s="44">
        <f t="shared" si="7"/>
        <v>221000</v>
      </c>
      <c r="D51" s="38">
        <f t="shared" si="5"/>
        <v>2.541866168224299E-2</v>
      </c>
      <c r="E51" s="44">
        <f t="shared" si="6"/>
        <v>6000</v>
      </c>
      <c r="F51" s="158">
        <f t="shared" si="6"/>
        <v>2000</v>
      </c>
    </row>
    <row r="52" spans="1:6" x14ac:dyDescent="0.2">
      <c r="A52" s="246">
        <f t="shared" si="4"/>
        <v>14</v>
      </c>
      <c r="B52" s="70">
        <f t="shared" si="4"/>
        <v>2033</v>
      </c>
      <c r="C52" s="44">
        <f t="shared" si="7"/>
        <v>221000</v>
      </c>
      <c r="D52" s="38">
        <f t="shared" si="5"/>
        <v>2.541866168224299E-2</v>
      </c>
      <c r="E52" s="44">
        <f t="shared" si="6"/>
        <v>6000</v>
      </c>
      <c r="F52" s="158">
        <f t="shared" si="6"/>
        <v>2000</v>
      </c>
    </row>
    <row r="53" spans="1:6" x14ac:dyDescent="0.2">
      <c r="A53" s="246">
        <f t="shared" si="4"/>
        <v>15</v>
      </c>
      <c r="B53" s="70">
        <f t="shared" si="4"/>
        <v>2034</v>
      </c>
      <c r="C53" s="44">
        <f t="shared" si="7"/>
        <v>221000</v>
      </c>
      <c r="D53" s="38">
        <f t="shared" si="5"/>
        <v>2.541866168224299E-2</v>
      </c>
      <c r="E53" s="44">
        <f t="shared" si="6"/>
        <v>6000</v>
      </c>
      <c r="F53" s="158">
        <f t="shared" si="6"/>
        <v>2000</v>
      </c>
    </row>
    <row r="54" spans="1:6" x14ac:dyDescent="0.2">
      <c r="A54" s="246">
        <f t="shared" si="4"/>
        <v>16</v>
      </c>
      <c r="B54" s="70">
        <f t="shared" si="4"/>
        <v>2035</v>
      </c>
      <c r="C54" s="44">
        <f t="shared" si="7"/>
        <v>221000</v>
      </c>
      <c r="D54" s="38">
        <f t="shared" si="5"/>
        <v>2.541866168224299E-2</v>
      </c>
      <c r="E54" s="44">
        <f t="shared" si="6"/>
        <v>6000</v>
      </c>
      <c r="F54" s="158">
        <f t="shared" si="6"/>
        <v>2000</v>
      </c>
    </row>
    <row r="55" spans="1:6" x14ac:dyDescent="0.2">
      <c r="A55" s="246">
        <f t="shared" si="4"/>
        <v>17</v>
      </c>
      <c r="B55" s="70">
        <f t="shared" si="4"/>
        <v>2036</v>
      </c>
      <c r="C55" s="44">
        <f t="shared" si="7"/>
        <v>221000</v>
      </c>
      <c r="D55" s="38">
        <f t="shared" si="5"/>
        <v>2.541866168224299E-2</v>
      </c>
      <c r="E55" s="44">
        <f t="shared" si="6"/>
        <v>6000</v>
      </c>
      <c r="F55" s="158">
        <f t="shared" si="6"/>
        <v>2000</v>
      </c>
    </row>
    <row r="56" spans="1:6" x14ac:dyDescent="0.2">
      <c r="A56" s="246">
        <f t="shared" si="4"/>
        <v>18</v>
      </c>
      <c r="B56" s="70">
        <f t="shared" si="4"/>
        <v>2037</v>
      </c>
      <c r="C56" s="44">
        <f t="shared" si="7"/>
        <v>221000</v>
      </c>
      <c r="D56" s="38">
        <f t="shared" si="5"/>
        <v>2.541866168224299E-2</v>
      </c>
      <c r="E56" s="44">
        <f t="shared" si="6"/>
        <v>6000</v>
      </c>
      <c r="F56" s="158">
        <f t="shared" si="6"/>
        <v>2000</v>
      </c>
    </row>
    <row r="57" spans="1:6" x14ac:dyDescent="0.2">
      <c r="A57" s="246">
        <f t="shared" ref="A57:B69" si="8">A22</f>
        <v>19</v>
      </c>
      <c r="B57" s="70">
        <f t="shared" si="8"/>
        <v>2038</v>
      </c>
      <c r="C57" s="44">
        <f t="shared" si="7"/>
        <v>221000</v>
      </c>
      <c r="D57" s="38">
        <f t="shared" si="5"/>
        <v>2.541866168224299E-2</v>
      </c>
      <c r="E57" s="44">
        <f t="shared" ref="E57:F69" si="9">ROUND(E22,-3)</f>
        <v>6000</v>
      </c>
      <c r="F57" s="158">
        <f t="shared" si="9"/>
        <v>1000</v>
      </c>
    </row>
    <row r="58" spans="1:6" x14ac:dyDescent="0.2">
      <c r="A58" s="246">
        <f t="shared" si="8"/>
        <v>20</v>
      </c>
      <c r="B58" s="70">
        <f t="shared" si="8"/>
        <v>2039</v>
      </c>
      <c r="C58" s="44">
        <f t="shared" si="7"/>
        <v>221000</v>
      </c>
      <c r="D58" s="38">
        <f t="shared" si="5"/>
        <v>2.541866168224299E-2</v>
      </c>
      <c r="E58" s="44">
        <f t="shared" si="9"/>
        <v>6000</v>
      </c>
      <c r="F58" s="158">
        <f t="shared" si="9"/>
        <v>1000</v>
      </c>
    </row>
    <row r="59" spans="1:6" x14ac:dyDescent="0.2">
      <c r="A59" s="246">
        <f t="shared" si="8"/>
        <v>21</v>
      </c>
      <c r="B59" s="70">
        <f t="shared" si="8"/>
        <v>2040</v>
      </c>
      <c r="C59" s="44">
        <f t="shared" si="7"/>
        <v>221000</v>
      </c>
      <c r="D59" s="38">
        <f t="shared" si="5"/>
        <v>2.541866168224299E-2</v>
      </c>
      <c r="E59" s="44">
        <f t="shared" si="9"/>
        <v>6000</v>
      </c>
      <c r="F59" s="158">
        <f t="shared" si="9"/>
        <v>1000</v>
      </c>
    </row>
    <row r="60" spans="1:6" x14ac:dyDescent="0.2">
      <c r="A60" s="246">
        <f t="shared" si="8"/>
        <v>22</v>
      </c>
      <c r="B60" s="70">
        <f t="shared" si="8"/>
        <v>2041</v>
      </c>
      <c r="C60" s="44">
        <f t="shared" si="7"/>
        <v>221000</v>
      </c>
      <c r="D60" s="38">
        <f t="shared" si="5"/>
        <v>2.541866168224299E-2</v>
      </c>
      <c r="E60" s="44">
        <f t="shared" si="9"/>
        <v>6000</v>
      </c>
      <c r="F60" s="158">
        <f t="shared" si="9"/>
        <v>1000</v>
      </c>
    </row>
    <row r="61" spans="1:6" x14ac:dyDescent="0.2">
      <c r="A61" s="246">
        <f t="shared" si="8"/>
        <v>23</v>
      </c>
      <c r="B61" s="70">
        <f t="shared" si="8"/>
        <v>2042</v>
      </c>
      <c r="C61" s="44">
        <f t="shared" si="7"/>
        <v>221000</v>
      </c>
      <c r="D61" s="38">
        <f t="shared" si="5"/>
        <v>2.541866168224299E-2</v>
      </c>
      <c r="E61" s="44">
        <f t="shared" si="9"/>
        <v>6000</v>
      </c>
      <c r="F61" s="158">
        <f t="shared" si="9"/>
        <v>1000</v>
      </c>
    </row>
    <row r="62" spans="1:6" x14ac:dyDescent="0.2">
      <c r="A62" s="246">
        <f t="shared" si="8"/>
        <v>24</v>
      </c>
      <c r="B62" s="70">
        <f t="shared" si="8"/>
        <v>2043</v>
      </c>
      <c r="C62" s="44">
        <f t="shared" si="7"/>
        <v>221000</v>
      </c>
      <c r="D62" s="38">
        <f t="shared" si="5"/>
        <v>2.541866168224299E-2</v>
      </c>
      <c r="E62" s="44">
        <f t="shared" si="9"/>
        <v>6000</v>
      </c>
      <c r="F62" s="158">
        <f t="shared" si="9"/>
        <v>1000</v>
      </c>
    </row>
    <row r="63" spans="1:6" x14ac:dyDescent="0.2">
      <c r="A63" s="246">
        <f t="shared" si="8"/>
        <v>25</v>
      </c>
      <c r="B63" s="70">
        <f t="shared" si="8"/>
        <v>2044</v>
      </c>
      <c r="C63" s="44">
        <f t="shared" si="7"/>
        <v>221000</v>
      </c>
      <c r="D63" s="38">
        <f t="shared" si="5"/>
        <v>2.541866168224299E-2</v>
      </c>
      <c r="E63" s="44">
        <f t="shared" si="9"/>
        <v>6000</v>
      </c>
      <c r="F63" s="158">
        <f t="shared" si="9"/>
        <v>1000</v>
      </c>
    </row>
    <row r="64" spans="1:6" x14ac:dyDescent="0.2">
      <c r="A64" s="246">
        <f t="shared" si="8"/>
        <v>26</v>
      </c>
      <c r="B64" s="70">
        <f t="shared" si="8"/>
        <v>2045</v>
      </c>
      <c r="C64" s="44">
        <f t="shared" si="7"/>
        <v>221000</v>
      </c>
      <c r="D64" s="38">
        <f t="shared" si="5"/>
        <v>2.541866168224299E-2</v>
      </c>
      <c r="E64" s="44">
        <f t="shared" si="9"/>
        <v>6000</v>
      </c>
      <c r="F64" s="158">
        <f t="shared" si="9"/>
        <v>1000</v>
      </c>
    </row>
    <row r="65" spans="1:6" x14ac:dyDescent="0.2">
      <c r="A65" s="246">
        <f t="shared" si="8"/>
        <v>27</v>
      </c>
      <c r="B65" s="70">
        <f t="shared" si="8"/>
        <v>2046</v>
      </c>
      <c r="C65" s="44">
        <f t="shared" si="7"/>
        <v>221000</v>
      </c>
      <c r="D65" s="38">
        <f t="shared" si="5"/>
        <v>2.541866168224299E-2</v>
      </c>
      <c r="E65" s="44">
        <f t="shared" si="9"/>
        <v>6000</v>
      </c>
      <c r="F65" s="158">
        <f t="shared" si="9"/>
        <v>1000</v>
      </c>
    </row>
    <row r="66" spans="1:6" x14ac:dyDescent="0.2">
      <c r="A66" s="246">
        <f t="shared" si="8"/>
        <v>28</v>
      </c>
      <c r="B66" s="70">
        <f t="shared" si="8"/>
        <v>2047</v>
      </c>
      <c r="C66" s="44">
        <f t="shared" si="7"/>
        <v>221000</v>
      </c>
      <c r="D66" s="38">
        <f t="shared" si="5"/>
        <v>2.541866168224299E-2</v>
      </c>
      <c r="E66" s="44">
        <f t="shared" si="9"/>
        <v>6000</v>
      </c>
      <c r="F66" s="158">
        <f t="shared" si="9"/>
        <v>1000</v>
      </c>
    </row>
    <row r="67" spans="1:6" x14ac:dyDescent="0.2">
      <c r="A67" s="246">
        <f t="shared" si="8"/>
        <v>29</v>
      </c>
      <c r="B67" s="70">
        <f t="shared" si="8"/>
        <v>2048</v>
      </c>
      <c r="C67" s="44">
        <f t="shared" si="7"/>
        <v>221000</v>
      </c>
      <c r="D67" s="38">
        <f t="shared" si="5"/>
        <v>2.541866168224299E-2</v>
      </c>
      <c r="E67" s="44">
        <f t="shared" si="9"/>
        <v>6000</v>
      </c>
      <c r="F67" s="158">
        <f t="shared" si="9"/>
        <v>1000</v>
      </c>
    </row>
    <row r="68" spans="1:6" x14ac:dyDescent="0.2">
      <c r="A68" s="246">
        <f t="shared" si="8"/>
        <v>30</v>
      </c>
      <c r="B68" s="70">
        <f t="shared" si="8"/>
        <v>2049</v>
      </c>
      <c r="C68" s="44">
        <f t="shared" si="7"/>
        <v>221000</v>
      </c>
      <c r="D68" s="38">
        <f t="shared" si="5"/>
        <v>2.541866168224299E-2</v>
      </c>
      <c r="E68" s="44">
        <f t="shared" si="9"/>
        <v>6000</v>
      </c>
      <c r="F68" s="158">
        <f t="shared" si="9"/>
        <v>1000</v>
      </c>
    </row>
    <row r="69" spans="1:6" ht="12.75" thickBot="1" x14ac:dyDescent="0.25">
      <c r="A69" s="249">
        <f t="shared" si="8"/>
        <v>0</v>
      </c>
      <c r="B69" s="254" t="str">
        <f t="shared" si="8"/>
        <v>Total</v>
      </c>
      <c r="C69" s="104">
        <f t="shared" si="7"/>
        <v>6422000</v>
      </c>
      <c r="D69" s="160">
        <f t="shared" si="5"/>
        <v>0</v>
      </c>
      <c r="E69" s="104">
        <f t="shared" si="9"/>
        <v>163000</v>
      </c>
      <c r="F69" s="161">
        <f t="shared" si="9"/>
        <v>60000</v>
      </c>
    </row>
    <row r="70" spans="1:6" x14ac:dyDescent="0.2">
      <c r="C70" s="327"/>
      <c r="D70" s="327"/>
      <c r="E70" s="327"/>
      <c r="F70" s="327"/>
    </row>
  </sheetData>
  <pageMargins left="0.75" right="0.75" top="1" bottom="1" header="0.5" footer="0.5"/>
  <pageSetup orientation="portrait" verticalDpi="0" r:id="rId1"/>
  <headerFooter alignWithMargins="0"/>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heetViews>
  <sheetFormatPr defaultRowHeight="12.75" x14ac:dyDescent="0.2"/>
  <cols>
    <col min="1" max="2" width="9.140625" style="333"/>
    <col min="3" max="7" width="12.7109375" style="328" customWidth="1"/>
    <col min="8" max="16384" width="9.140625" style="328"/>
  </cols>
  <sheetData>
    <row r="1" spans="1:7" s="330" customFormat="1" ht="76.5" x14ac:dyDescent="0.2">
      <c r="A1" s="329" t="s">
        <v>130</v>
      </c>
      <c r="B1" s="148" t="s">
        <v>2</v>
      </c>
      <c r="C1" s="120" t="s">
        <v>111</v>
      </c>
      <c r="D1" s="120" t="s">
        <v>167</v>
      </c>
      <c r="E1" s="120" t="s">
        <v>113</v>
      </c>
      <c r="F1" s="120" t="s">
        <v>165</v>
      </c>
      <c r="G1" s="121" t="s">
        <v>166</v>
      </c>
    </row>
    <row r="2" spans="1:7" x14ac:dyDescent="0.2">
      <c r="A2" s="332">
        <v>-1</v>
      </c>
      <c r="B2" s="88">
        <v>2018</v>
      </c>
      <c r="C2" s="94">
        <v>0</v>
      </c>
      <c r="D2" s="94">
        <v>0</v>
      </c>
      <c r="E2" s="94">
        <v>0</v>
      </c>
      <c r="F2" s="94">
        <v>0</v>
      </c>
      <c r="G2" s="152">
        <v>0</v>
      </c>
    </row>
    <row r="3" spans="1:7" x14ac:dyDescent="0.2">
      <c r="A3" s="332">
        <v>0</v>
      </c>
      <c r="B3" s="90">
        <f>B2+1</f>
        <v>2019</v>
      </c>
      <c r="C3" s="94">
        <v>0</v>
      </c>
      <c r="D3" s="94">
        <v>0</v>
      </c>
      <c r="E3" s="94">
        <v>0</v>
      </c>
      <c r="F3" s="94">
        <v>0</v>
      </c>
      <c r="G3" s="152">
        <v>0</v>
      </c>
    </row>
    <row r="4" spans="1:7" x14ac:dyDescent="0.2">
      <c r="A4" s="332">
        <v>1</v>
      </c>
      <c r="B4" s="90">
        <f t="shared" ref="B4:B33" si="0">B3+1</f>
        <v>2020</v>
      </c>
      <c r="C4" s="94">
        <f>'T11 Reduced Truck Emissions'!M4*'T31 Env Input'!C7</f>
        <v>13762.803605021698</v>
      </c>
      <c r="D4" s="94">
        <f>'T11 Reduced Truck Emissions'!N4*'T31 Env Input'!D7</f>
        <v>172.70114412939864</v>
      </c>
      <c r="E4" s="94">
        <f>'T11 Reduced Truck Emissions'!P4*'T31 Env Input'!E7</f>
        <v>15435.103570028434</v>
      </c>
      <c r="F4" s="94">
        <f t="shared" ref="F4:F33" si="1">SUM(C4:E4)</f>
        <v>29370.60831917953</v>
      </c>
      <c r="G4" s="152">
        <f>F4/((1+'T3 Inputs'!$B$4)^(B4-B$2))</f>
        <v>25653.426778914778</v>
      </c>
    </row>
    <row r="5" spans="1:7" x14ac:dyDescent="0.2">
      <c r="A5" s="332">
        <f>1+A4</f>
        <v>2</v>
      </c>
      <c r="B5" s="90">
        <f t="shared" si="0"/>
        <v>2021</v>
      </c>
      <c r="C5" s="95">
        <f>'T11 Reduced Truck Emissions'!M5*'T31 Env Input'!C8</f>
        <v>14964.602257129469</v>
      </c>
      <c r="D5" s="95">
        <f>'T11 Reduced Truck Emissions'!N5*'T31 Env Input'!D8</f>
        <v>187.78179253423752</v>
      </c>
      <c r="E5" s="95">
        <f>'T11 Reduced Truck Emissions'!P5*'T31 Env Input'!E8</f>
        <v>16782.93117826631</v>
      </c>
      <c r="F5" s="95">
        <f>SUM(C5:E5)</f>
        <v>31935.315227930016</v>
      </c>
      <c r="G5" s="153">
        <f>F5/((1+'T3 Inputs'!$B$4)^(B5-B$2))</f>
        <v>26068.730018399365</v>
      </c>
    </row>
    <row r="6" spans="1:7" x14ac:dyDescent="0.2">
      <c r="A6" s="332">
        <f t="shared" ref="A6:A33" si="2">1+A5</f>
        <v>3</v>
      </c>
      <c r="B6" s="90">
        <f t="shared" si="0"/>
        <v>2022</v>
      </c>
      <c r="C6" s="95">
        <f>'T11 Reduced Truck Emissions'!M6*'T31 Env Input'!C9</f>
        <v>14964.602257129469</v>
      </c>
      <c r="D6" s="95">
        <f>'T11 Reduced Truck Emissions'!N6*'T31 Env Input'!D9</f>
        <v>187.78179253423752</v>
      </c>
      <c r="E6" s="95">
        <f>'T11 Reduced Truck Emissions'!P6*'T31 Env Input'!E9</f>
        <v>16782.93117826631</v>
      </c>
      <c r="F6" s="95">
        <f t="shared" si="1"/>
        <v>31935.315227930016</v>
      </c>
      <c r="G6" s="153">
        <f>F6/((1+'T3 Inputs'!$B$4)^(B6-B$2))</f>
        <v>24363.299082616231</v>
      </c>
    </row>
    <row r="7" spans="1:7" x14ac:dyDescent="0.2">
      <c r="A7" s="332">
        <f t="shared" si="2"/>
        <v>4</v>
      </c>
      <c r="B7" s="90">
        <f t="shared" si="0"/>
        <v>2023</v>
      </c>
      <c r="C7" s="95">
        <f>'T11 Reduced Truck Emissions'!M7*'T31 Env Input'!C10</f>
        <v>14964.602257129469</v>
      </c>
      <c r="D7" s="95">
        <f>'T11 Reduced Truck Emissions'!N7*'T31 Env Input'!D10</f>
        <v>187.78179253423752</v>
      </c>
      <c r="E7" s="95">
        <f>'T11 Reduced Truck Emissions'!P7*'T31 Env Input'!E10</f>
        <v>16782.93117826631</v>
      </c>
      <c r="F7" s="95">
        <f t="shared" si="1"/>
        <v>31935.315227930016</v>
      </c>
      <c r="G7" s="153">
        <f>F7/((1+'T3 Inputs'!$B$4)^(B7-B$2))</f>
        <v>22769.438394968438</v>
      </c>
    </row>
    <row r="8" spans="1:7" x14ac:dyDescent="0.2">
      <c r="A8" s="332">
        <f t="shared" si="2"/>
        <v>5</v>
      </c>
      <c r="B8" s="90">
        <f t="shared" si="0"/>
        <v>2024</v>
      </c>
      <c r="C8" s="95">
        <f>'T11 Reduced Truck Emissions'!M8*'T31 Env Input'!C11</f>
        <v>14964.602257129469</v>
      </c>
      <c r="D8" s="95">
        <f>'T11 Reduced Truck Emissions'!N8*'T31 Env Input'!D11</f>
        <v>187.78179253423752</v>
      </c>
      <c r="E8" s="95">
        <f>'T11 Reduced Truck Emissions'!P8*'T31 Env Input'!E11</f>
        <v>16782.93117826631</v>
      </c>
      <c r="F8" s="95">
        <f t="shared" si="1"/>
        <v>31935.315227930016</v>
      </c>
      <c r="G8" s="153">
        <f>F8/((1+'T3 Inputs'!$B$4)^(B8-B$2))</f>
        <v>21279.848967260223</v>
      </c>
    </row>
    <row r="9" spans="1:7" x14ac:dyDescent="0.2">
      <c r="A9" s="332">
        <f t="shared" si="2"/>
        <v>6</v>
      </c>
      <c r="B9" s="90">
        <f t="shared" si="0"/>
        <v>2025</v>
      </c>
      <c r="C9" s="95">
        <f>'T11 Reduced Truck Emissions'!M9*'T31 Env Input'!C12</f>
        <v>14964.602257129469</v>
      </c>
      <c r="D9" s="95">
        <f>'T11 Reduced Truck Emissions'!N9*'T31 Env Input'!D12</f>
        <v>187.78179253423752</v>
      </c>
      <c r="E9" s="95">
        <f>'T11 Reduced Truck Emissions'!P9*'T31 Env Input'!E12</f>
        <v>16782.93117826631</v>
      </c>
      <c r="F9" s="95">
        <f t="shared" si="1"/>
        <v>31935.315227930016</v>
      </c>
      <c r="G9" s="153">
        <f>F9/((1+'T3 Inputs'!$B$4)^(B9-B$2))</f>
        <v>19887.709315196469</v>
      </c>
    </row>
    <row r="10" spans="1:7" x14ac:dyDescent="0.2">
      <c r="A10" s="332">
        <f t="shared" si="2"/>
        <v>7</v>
      </c>
      <c r="B10" s="90">
        <f t="shared" si="0"/>
        <v>2026</v>
      </c>
      <c r="C10" s="95">
        <f>'T11 Reduced Truck Emissions'!M10*'T31 Env Input'!C13</f>
        <v>14964.602257129469</v>
      </c>
      <c r="D10" s="95">
        <f>'T11 Reduced Truck Emissions'!N10*'T31 Env Input'!D13</f>
        <v>187.78179253423752</v>
      </c>
      <c r="E10" s="95">
        <f>'T11 Reduced Truck Emissions'!P10*'T31 Env Input'!E13</f>
        <v>16782.93117826631</v>
      </c>
      <c r="F10" s="95">
        <f t="shared" si="1"/>
        <v>31935.315227930016</v>
      </c>
      <c r="G10" s="153">
        <f>F10/((1+'T3 Inputs'!$B$4)^(B10-B$2))</f>
        <v>18586.644219809787</v>
      </c>
    </row>
    <row r="11" spans="1:7" x14ac:dyDescent="0.2">
      <c r="A11" s="332">
        <f t="shared" si="2"/>
        <v>8</v>
      </c>
      <c r="B11" s="90">
        <f t="shared" si="0"/>
        <v>2027</v>
      </c>
      <c r="C11" s="95">
        <f>'T11 Reduced Truck Emissions'!M11*'T31 Env Input'!C14</f>
        <v>14964.602257129469</v>
      </c>
      <c r="D11" s="95">
        <f>'T11 Reduced Truck Emissions'!N11*'T31 Env Input'!D14</f>
        <v>187.78179253423752</v>
      </c>
      <c r="E11" s="95">
        <f>'T11 Reduced Truck Emissions'!P11*'T31 Env Input'!E14</f>
        <v>16782.93117826631</v>
      </c>
      <c r="F11" s="95">
        <f t="shared" si="1"/>
        <v>31935.315227930016</v>
      </c>
      <c r="G11" s="153">
        <f>F11/((1+'T3 Inputs'!$B$4)^(B11-B$2))</f>
        <v>17370.695532532507</v>
      </c>
    </row>
    <row r="12" spans="1:7" x14ac:dyDescent="0.2">
      <c r="A12" s="332">
        <f t="shared" si="2"/>
        <v>9</v>
      </c>
      <c r="B12" s="90">
        <f t="shared" si="0"/>
        <v>2028</v>
      </c>
      <c r="C12" s="95">
        <f>'T11 Reduced Truck Emissions'!M12*'T31 Env Input'!C15</f>
        <v>14964.602257129469</v>
      </c>
      <c r="D12" s="95">
        <f>'T11 Reduced Truck Emissions'!N12*'T31 Env Input'!D15</f>
        <v>187.78179253423752</v>
      </c>
      <c r="E12" s="95">
        <f>'T11 Reduced Truck Emissions'!P12*'T31 Env Input'!E15</f>
        <v>16782.93117826631</v>
      </c>
      <c r="F12" s="95">
        <f t="shared" si="1"/>
        <v>31935.315227930016</v>
      </c>
      <c r="G12" s="153">
        <f>F12/((1+'T3 Inputs'!$B$4)^(B12-B$2))</f>
        <v>16234.294890217298</v>
      </c>
    </row>
    <row r="13" spans="1:7" x14ac:dyDescent="0.2">
      <c r="A13" s="332">
        <f t="shared" si="2"/>
        <v>10</v>
      </c>
      <c r="B13" s="90">
        <f t="shared" si="0"/>
        <v>2029</v>
      </c>
      <c r="C13" s="95">
        <f>'T11 Reduced Truck Emissions'!M13*'T31 Env Input'!C16</f>
        <v>14964.602257129469</v>
      </c>
      <c r="D13" s="95">
        <f>'T11 Reduced Truck Emissions'!N13*'T31 Env Input'!D16</f>
        <v>187.78179253423752</v>
      </c>
      <c r="E13" s="95">
        <f>'T11 Reduced Truck Emissions'!P13*'T31 Env Input'!E16</f>
        <v>16782.93117826631</v>
      </c>
      <c r="F13" s="95">
        <f t="shared" si="1"/>
        <v>31935.315227930016</v>
      </c>
      <c r="G13" s="153">
        <f>F13/((1+'T3 Inputs'!$B$4)^(B13-B$2))</f>
        <v>15172.238215156351</v>
      </c>
    </row>
    <row r="14" spans="1:7" x14ac:dyDescent="0.2">
      <c r="A14" s="332">
        <f t="shared" si="2"/>
        <v>11</v>
      </c>
      <c r="B14" s="90">
        <f t="shared" si="0"/>
        <v>2030</v>
      </c>
      <c r="C14" s="95">
        <f>'T11 Reduced Truck Emissions'!M14*'T31 Env Input'!C17</f>
        <v>14964.602257129469</v>
      </c>
      <c r="D14" s="95">
        <f>'T11 Reduced Truck Emissions'!N14*'T31 Env Input'!D17</f>
        <v>187.78179253423752</v>
      </c>
      <c r="E14" s="95">
        <f>'T11 Reduced Truck Emissions'!P14*'T31 Env Input'!E17</f>
        <v>16782.93117826631</v>
      </c>
      <c r="F14" s="95">
        <f t="shared" si="1"/>
        <v>31935.315227930016</v>
      </c>
      <c r="G14" s="153">
        <f>F14/((1+'T3 Inputs'!$B$4)^(B14-B$2))</f>
        <v>14179.661883323695</v>
      </c>
    </row>
    <row r="15" spans="1:7" x14ac:dyDescent="0.2">
      <c r="A15" s="332">
        <f t="shared" si="2"/>
        <v>12</v>
      </c>
      <c r="B15" s="90">
        <f t="shared" si="0"/>
        <v>2031</v>
      </c>
      <c r="C15" s="95">
        <f>'T11 Reduced Truck Emissions'!M15*'T31 Env Input'!C18</f>
        <v>14964.602257129469</v>
      </c>
      <c r="D15" s="95">
        <f>'T11 Reduced Truck Emissions'!N15*'T31 Env Input'!D18</f>
        <v>187.78179253423752</v>
      </c>
      <c r="E15" s="95">
        <f>'T11 Reduced Truck Emissions'!P15*'T31 Env Input'!E18</f>
        <v>16782.93117826631</v>
      </c>
      <c r="F15" s="95">
        <f t="shared" si="1"/>
        <v>31935.315227930016</v>
      </c>
      <c r="G15" s="153">
        <f>F15/((1+'T3 Inputs'!$B$4)^(B15-B$2))</f>
        <v>13252.020451704388</v>
      </c>
    </row>
    <row r="16" spans="1:7" x14ac:dyDescent="0.2">
      <c r="A16" s="332">
        <f t="shared" si="2"/>
        <v>13</v>
      </c>
      <c r="B16" s="90">
        <f t="shared" si="0"/>
        <v>2032</v>
      </c>
      <c r="C16" s="95">
        <f>'T11 Reduced Truck Emissions'!M16*'T31 Env Input'!C19</f>
        <v>14964.602257129469</v>
      </c>
      <c r="D16" s="95">
        <f>'T11 Reduced Truck Emissions'!N16*'T31 Env Input'!D19</f>
        <v>187.78179253423752</v>
      </c>
      <c r="E16" s="95">
        <f>'T11 Reduced Truck Emissions'!P16*'T31 Env Input'!E19</f>
        <v>16782.93117826631</v>
      </c>
      <c r="F16" s="95">
        <f t="shared" si="1"/>
        <v>31935.315227930016</v>
      </c>
      <c r="G16" s="153">
        <f>F16/((1+'T3 Inputs'!$B$4)^(B16-B$2))</f>
        <v>12385.065842714381</v>
      </c>
    </row>
    <row r="17" spans="1:7" x14ac:dyDescent="0.2">
      <c r="A17" s="332">
        <f t="shared" si="2"/>
        <v>14</v>
      </c>
      <c r="B17" s="90">
        <f t="shared" si="0"/>
        <v>2033</v>
      </c>
      <c r="C17" s="95">
        <f>'T11 Reduced Truck Emissions'!M17*'T31 Env Input'!C20</f>
        <v>14964.602257129469</v>
      </c>
      <c r="D17" s="95">
        <f>'T11 Reduced Truck Emissions'!N17*'T31 Env Input'!D20</f>
        <v>187.78179253423752</v>
      </c>
      <c r="E17" s="95">
        <f>'T11 Reduced Truck Emissions'!P17*'T31 Env Input'!E20</f>
        <v>16782.93117826631</v>
      </c>
      <c r="F17" s="95">
        <f t="shared" si="1"/>
        <v>31935.315227930016</v>
      </c>
      <c r="G17" s="153">
        <f>F17/((1+'T3 Inputs'!$B$4)^(B17-B$2))</f>
        <v>11574.827890387271</v>
      </c>
    </row>
    <row r="18" spans="1:7" x14ac:dyDescent="0.2">
      <c r="A18" s="332">
        <f t="shared" si="2"/>
        <v>15</v>
      </c>
      <c r="B18" s="90">
        <f t="shared" si="0"/>
        <v>2034</v>
      </c>
      <c r="C18" s="95">
        <f>'T11 Reduced Truck Emissions'!M18*'T31 Env Input'!C21</f>
        <v>14964.602257129469</v>
      </c>
      <c r="D18" s="95">
        <f>'T11 Reduced Truck Emissions'!N18*'T31 Env Input'!D21</f>
        <v>187.78179253423752</v>
      </c>
      <c r="E18" s="95">
        <f>'T11 Reduced Truck Emissions'!P18*'T31 Env Input'!E21</f>
        <v>16782.93117826631</v>
      </c>
      <c r="F18" s="95">
        <f t="shared" si="1"/>
        <v>31935.315227930016</v>
      </c>
      <c r="G18" s="153">
        <f>F18/((1+'T3 Inputs'!$B$4)^(B18-B$2))</f>
        <v>10817.596159240442</v>
      </c>
    </row>
    <row r="19" spans="1:7" x14ac:dyDescent="0.2">
      <c r="A19" s="332">
        <f t="shared" si="2"/>
        <v>16</v>
      </c>
      <c r="B19" s="90">
        <f t="shared" si="0"/>
        <v>2035</v>
      </c>
      <c r="C19" s="95">
        <f>'T11 Reduced Truck Emissions'!M19*'T31 Env Input'!C22</f>
        <v>14964.602257129469</v>
      </c>
      <c r="D19" s="95">
        <f>'T11 Reduced Truck Emissions'!N19*'T31 Env Input'!D22</f>
        <v>187.78179253423752</v>
      </c>
      <c r="E19" s="95">
        <f>'T11 Reduced Truck Emissions'!P19*'T31 Env Input'!E22</f>
        <v>16782.93117826631</v>
      </c>
      <c r="F19" s="95">
        <f t="shared" si="1"/>
        <v>31935.315227930016</v>
      </c>
      <c r="G19" s="153">
        <f>F19/((1+'T3 Inputs'!$B$4)^(B19-B$2))</f>
        <v>10109.90295256116</v>
      </c>
    </row>
    <row r="20" spans="1:7" x14ac:dyDescent="0.2">
      <c r="A20" s="332">
        <f t="shared" si="2"/>
        <v>17</v>
      </c>
      <c r="B20" s="90">
        <f t="shared" si="0"/>
        <v>2036</v>
      </c>
      <c r="C20" s="95">
        <f>'T11 Reduced Truck Emissions'!M20*'T31 Env Input'!C23</f>
        <v>14964.602257129469</v>
      </c>
      <c r="D20" s="95">
        <f>'T11 Reduced Truck Emissions'!N20*'T31 Env Input'!D23</f>
        <v>187.78179253423752</v>
      </c>
      <c r="E20" s="95">
        <f>'T11 Reduced Truck Emissions'!P20*'T31 Env Input'!E23</f>
        <v>16782.93117826631</v>
      </c>
      <c r="F20" s="95">
        <f t="shared" si="1"/>
        <v>31935.315227930016</v>
      </c>
      <c r="G20" s="153">
        <f>F20/((1+'T3 Inputs'!$B$4)^(B20-B$2))</f>
        <v>9448.50743230015</v>
      </c>
    </row>
    <row r="21" spans="1:7" x14ac:dyDescent="0.2">
      <c r="A21" s="332">
        <f t="shared" si="2"/>
        <v>18</v>
      </c>
      <c r="B21" s="90">
        <f t="shared" si="0"/>
        <v>2037</v>
      </c>
      <c r="C21" s="95">
        <f>'T11 Reduced Truck Emissions'!M21*'T31 Env Input'!C24</f>
        <v>14964.602257129469</v>
      </c>
      <c r="D21" s="95">
        <f>'T11 Reduced Truck Emissions'!N21*'T31 Env Input'!D24</f>
        <v>187.78179253423752</v>
      </c>
      <c r="E21" s="95">
        <f>'T11 Reduced Truck Emissions'!P21*'T31 Env Input'!E24</f>
        <v>16782.93117826631</v>
      </c>
      <c r="F21" s="95">
        <f t="shared" si="1"/>
        <v>31935.315227930016</v>
      </c>
      <c r="G21" s="153">
        <f>F21/((1+'T3 Inputs'!$B$4)^(B21-B$2))</f>
        <v>8830.380777850607</v>
      </c>
    </row>
    <row r="22" spans="1:7" x14ac:dyDescent="0.2">
      <c r="A22" s="332">
        <f t="shared" si="2"/>
        <v>19</v>
      </c>
      <c r="B22" s="90">
        <f t="shared" si="0"/>
        <v>2038</v>
      </c>
      <c r="C22" s="95">
        <f>'T11 Reduced Truck Emissions'!M22*'T31 Env Input'!C25</f>
        <v>14964.602257129469</v>
      </c>
      <c r="D22" s="95">
        <f>'T11 Reduced Truck Emissions'!N22*'T31 Env Input'!D25</f>
        <v>187.78179253423752</v>
      </c>
      <c r="E22" s="95">
        <f>'T11 Reduced Truck Emissions'!P22*'T31 Env Input'!E25</f>
        <v>16782.93117826631</v>
      </c>
      <c r="F22" s="95">
        <f t="shared" si="1"/>
        <v>31935.315227930016</v>
      </c>
      <c r="G22" s="153">
        <f>F22/((1+'T3 Inputs'!$B$4)^(B22-B$2))</f>
        <v>8252.6923157482306</v>
      </c>
    </row>
    <row r="23" spans="1:7" x14ac:dyDescent="0.2">
      <c r="A23" s="332">
        <f t="shared" si="2"/>
        <v>20</v>
      </c>
      <c r="B23" s="90">
        <f t="shared" si="0"/>
        <v>2039</v>
      </c>
      <c r="C23" s="95">
        <f>'T11 Reduced Truck Emissions'!M23*'T31 Env Input'!C26</f>
        <v>14964.602257129469</v>
      </c>
      <c r="D23" s="95">
        <f>'T11 Reduced Truck Emissions'!N23*'T31 Env Input'!D26</f>
        <v>187.78179253423752</v>
      </c>
      <c r="E23" s="95">
        <f>'T11 Reduced Truck Emissions'!P23*'T31 Env Input'!E26</f>
        <v>16782.93117826631</v>
      </c>
      <c r="F23" s="95">
        <f t="shared" si="1"/>
        <v>31935.315227930016</v>
      </c>
      <c r="G23" s="153">
        <f>F23/((1+'T3 Inputs'!$B$4)^(B23-B$2))</f>
        <v>7712.7965567740466</v>
      </c>
    </row>
    <row r="24" spans="1:7" x14ac:dyDescent="0.2">
      <c r="A24" s="332">
        <f t="shared" si="2"/>
        <v>21</v>
      </c>
      <c r="B24" s="90">
        <f t="shared" si="0"/>
        <v>2040</v>
      </c>
      <c r="C24" s="95">
        <f>'T11 Reduced Truck Emissions'!M24*'T31 Env Input'!C27</f>
        <v>14964.602257129469</v>
      </c>
      <c r="D24" s="95">
        <f>'T11 Reduced Truck Emissions'!N24*'T31 Env Input'!D27</f>
        <v>187.78179253423752</v>
      </c>
      <c r="E24" s="95">
        <f>'T11 Reduced Truck Emissions'!P24*'T31 Env Input'!E27</f>
        <v>16782.93117826631</v>
      </c>
      <c r="F24" s="95">
        <f t="shared" si="1"/>
        <v>31935.315227930016</v>
      </c>
      <c r="G24" s="153">
        <f>F24/((1+'T3 Inputs'!$B$4)^(B24-B$2))</f>
        <v>7208.2210810972401</v>
      </c>
    </row>
    <row r="25" spans="1:7" x14ac:dyDescent="0.2">
      <c r="A25" s="332">
        <f t="shared" si="2"/>
        <v>22</v>
      </c>
      <c r="B25" s="90">
        <f t="shared" si="0"/>
        <v>2041</v>
      </c>
      <c r="C25" s="95">
        <f>'T11 Reduced Truck Emissions'!M25*'T31 Env Input'!C28</f>
        <v>14964.602257129469</v>
      </c>
      <c r="D25" s="95">
        <f>'T11 Reduced Truck Emissions'!N25*'T31 Env Input'!D28</f>
        <v>187.78179253423752</v>
      </c>
      <c r="E25" s="95">
        <f>'T11 Reduced Truck Emissions'!P25*'T31 Env Input'!E28</f>
        <v>16782.93117826631</v>
      </c>
      <c r="F25" s="95">
        <f t="shared" si="1"/>
        <v>31935.315227930016</v>
      </c>
      <c r="G25" s="153">
        <f>F25/((1+'T3 Inputs'!$B$4)^(B25-B$2))</f>
        <v>6736.6552159787288</v>
      </c>
    </row>
    <row r="26" spans="1:7" x14ac:dyDescent="0.2">
      <c r="A26" s="332">
        <f t="shared" si="2"/>
        <v>23</v>
      </c>
      <c r="B26" s="90">
        <f t="shared" si="0"/>
        <v>2042</v>
      </c>
      <c r="C26" s="95">
        <f>'T11 Reduced Truck Emissions'!M26*'T31 Env Input'!C29</f>
        <v>14964.602257129469</v>
      </c>
      <c r="D26" s="95">
        <f>'T11 Reduced Truck Emissions'!N26*'T31 Env Input'!D29</f>
        <v>187.78179253423752</v>
      </c>
      <c r="E26" s="95">
        <f>'T11 Reduced Truck Emissions'!P26*'T31 Env Input'!E29</f>
        <v>16782.93117826631</v>
      </c>
      <c r="F26" s="95">
        <f t="shared" si="1"/>
        <v>31935.315227930016</v>
      </c>
      <c r="G26" s="153">
        <f>F26/((1+'T3 Inputs'!$B$4)^(B26-B$2))</f>
        <v>6295.9394541857282</v>
      </c>
    </row>
    <row r="27" spans="1:7" x14ac:dyDescent="0.2">
      <c r="A27" s="332">
        <f t="shared" si="2"/>
        <v>24</v>
      </c>
      <c r="B27" s="90">
        <f t="shared" si="0"/>
        <v>2043</v>
      </c>
      <c r="C27" s="95">
        <f>'T11 Reduced Truck Emissions'!M27*'T31 Env Input'!C30</f>
        <v>14964.602257129469</v>
      </c>
      <c r="D27" s="95">
        <f>'T11 Reduced Truck Emissions'!N27*'T31 Env Input'!D30</f>
        <v>187.78179253423752</v>
      </c>
      <c r="E27" s="95">
        <f>'T11 Reduced Truck Emissions'!P27*'T31 Env Input'!E30</f>
        <v>16782.93117826631</v>
      </c>
      <c r="F27" s="95">
        <f t="shared" si="1"/>
        <v>31935.315227930016</v>
      </c>
      <c r="G27" s="153">
        <f>F27/((1+'T3 Inputs'!$B$4)^(B27-B$2))</f>
        <v>5884.0555646595585</v>
      </c>
    </row>
    <row r="28" spans="1:7" x14ac:dyDescent="0.2">
      <c r="A28" s="332">
        <f t="shared" si="2"/>
        <v>25</v>
      </c>
      <c r="B28" s="90">
        <f t="shared" si="0"/>
        <v>2044</v>
      </c>
      <c r="C28" s="95">
        <f>'T11 Reduced Truck Emissions'!M28*'T31 Env Input'!C31</f>
        <v>14964.602257129469</v>
      </c>
      <c r="D28" s="95">
        <f>'T11 Reduced Truck Emissions'!N28*'T31 Env Input'!D31</f>
        <v>187.78179253423752</v>
      </c>
      <c r="E28" s="95">
        <f>'T11 Reduced Truck Emissions'!P28*'T31 Env Input'!E31</f>
        <v>16782.93117826631</v>
      </c>
      <c r="F28" s="95">
        <f t="shared" si="1"/>
        <v>31935.315227930016</v>
      </c>
      <c r="G28" s="153">
        <f>F28/((1+'T3 Inputs'!$B$4)^(B28-B$2))</f>
        <v>5499.1173501491203</v>
      </c>
    </row>
    <row r="29" spans="1:7" x14ac:dyDescent="0.2">
      <c r="A29" s="332">
        <f t="shared" si="2"/>
        <v>26</v>
      </c>
      <c r="B29" s="90">
        <f t="shared" si="0"/>
        <v>2045</v>
      </c>
      <c r="C29" s="95">
        <f>'T11 Reduced Truck Emissions'!M29*'T31 Env Input'!C32</f>
        <v>14964.602257129469</v>
      </c>
      <c r="D29" s="95">
        <f>'T11 Reduced Truck Emissions'!N29*'T31 Env Input'!D32</f>
        <v>187.78179253423752</v>
      </c>
      <c r="E29" s="95">
        <f>'T11 Reduced Truck Emissions'!P29*'T31 Env Input'!E32</f>
        <v>16782.93117826631</v>
      </c>
      <c r="F29" s="95">
        <f t="shared" si="1"/>
        <v>31935.315227930016</v>
      </c>
      <c r="G29" s="153">
        <f>F29/((1+'T3 Inputs'!$B$4)^(B29-B$2))</f>
        <v>5139.3620094851585</v>
      </c>
    </row>
    <row r="30" spans="1:7" x14ac:dyDescent="0.2">
      <c r="A30" s="332">
        <f t="shared" si="2"/>
        <v>27</v>
      </c>
      <c r="B30" s="90">
        <f t="shared" si="0"/>
        <v>2046</v>
      </c>
      <c r="C30" s="95">
        <f>'T11 Reduced Truck Emissions'!M30*'T31 Env Input'!C33</f>
        <v>14964.602257129469</v>
      </c>
      <c r="D30" s="95">
        <f>'T11 Reduced Truck Emissions'!N30*'T31 Env Input'!D33</f>
        <v>187.78179253423752</v>
      </c>
      <c r="E30" s="95">
        <f>'T11 Reduced Truck Emissions'!P30*'T31 Env Input'!E33</f>
        <v>16782.93117826631</v>
      </c>
      <c r="F30" s="95">
        <f t="shared" si="1"/>
        <v>31935.315227930016</v>
      </c>
      <c r="G30" s="153">
        <f>F30/((1+'T3 Inputs'!$B$4)^(B30-B$2))</f>
        <v>4803.1420649394013</v>
      </c>
    </row>
    <row r="31" spans="1:7" x14ac:dyDescent="0.2">
      <c r="A31" s="332">
        <f t="shared" si="2"/>
        <v>28</v>
      </c>
      <c r="B31" s="90">
        <f t="shared" si="0"/>
        <v>2047</v>
      </c>
      <c r="C31" s="95">
        <f>'T11 Reduced Truck Emissions'!M31*'T31 Env Input'!C34</f>
        <v>14964.602257129469</v>
      </c>
      <c r="D31" s="95">
        <f>'T11 Reduced Truck Emissions'!N31*'T31 Env Input'!D34</f>
        <v>187.78179253423752</v>
      </c>
      <c r="E31" s="95">
        <f>'T11 Reduced Truck Emissions'!P31*'T31 Env Input'!E34</f>
        <v>16782.93117826631</v>
      </c>
      <c r="F31" s="95">
        <f t="shared" si="1"/>
        <v>31935.315227930016</v>
      </c>
      <c r="G31" s="153">
        <f>F31/((1+'T3 Inputs'!$B$4)^(B31-B$2))</f>
        <v>4488.9178177003751</v>
      </c>
    </row>
    <row r="32" spans="1:7" x14ac:dyDescent="0.2">
      <c r="A32" s="332">
        <f t="shared" si="2"/>
        <v>29</v>
      </c>
      <c r="B32" s="90">
        <f t="shared" si="0"/>
        <v>2048</v>
      </c>
      <c r="C32" s="95">
        <f>'T11 Reduced Truck Emissions'!M32*'T31 Env Input'!C35</f>
        <v>14964.602257129469</v>
      </c>
      <c r="D32" s="95">
        <f>'T11 Reduced Truck Emissions'!N32*'T31 Env Input'!D35</f>
        <v>187.78179253423752</v>
      </c>
      <c r="E32" s="95">
        <f>'T11 Reduced Truck Emissions'!P32*'T31 Env Input'!E35</f>
        <v>16782.93117826631</v>
      </c>
      <c r="F32" s="95">
        <f t="shared" si="1"/>
        <v>31935.315227930016</v>
      </c>
      <c r="G32" s="153">
        <f>F32/((1+'T3 Inputs'!$B$4)^(B32-B$2))</f>
        <v>4195.2502969162379</v>
      </c>
    </row>
    <row r="33" spans="1:7" x14ac:dyDescent="0.2">
      <c r="A33" s="332">
        <f t="shared" si="2"/>
        <v>30</v>
      </c>
      <c r="B33" s="90">
        <f t="shared" si="0"/>
        <v>2049</v>
      </c>
      <c r="C33" s="95">
        <f>'T11 Reduced Truck Emissions'!M33*'T31 Env Input'!C36</f>
        <v>14964.602257129469</v>
      </c>
      <c r="D33" s="95">
        <f>'T11 Reduced Truck Emissions'!N33*'T31 Env Input'!D36</f>
        <v>187.78179253423752</v>
      </c>
      <c r="E33" s="95">
        <f>'T11 Reduced Truck Emissions'!P33*'T31 Env Input'!E36</f>
        <v>16782.93117826631</v>
      </c>
      <c r="F33" s="95">
        <f t="shared" si="1"/>
        <v>31935.315227930016</v>
      </c>
      <c r="G33" s="153">
        <f>F33/((1+'T3 Inputs'!$B$4)^(B33-B$2))</f>
        <v>3920.7946700151751</v>
      </c>
    </row>
    <row r="34" spans="1:7" ht="13.5" thickBot="1" x14ac:dyDescent="0.25">
      <c r="A34" s="604" t="s">
        <v>0</v>
      </c>
      <c r="B34" s="605"/>
      <c r="C34" s="154">
        <f>SUM(C3:C33)</f>
        <v>447736.26906177605</v>
      </c>
      <c r="D34" s="154">
        <f>SUM(D3:D33)</f>
        <v>5618.3731276222879</v>
      </c>
      <c r="E34" s="154">
        <f>SUM(E3:E33)</f>
        <v>502140.10773975123</v>
      </c>
      <c r="F34" s="154">
        <f>SUM(F3:F33)</f>
        <v>955494.7499291494</v>
      </c>
      <c r="G34" s="155">
        <f>SUM(G3:G33)</f>
        <v>368121.2332028026</v>
      </c>
    </row>
    <row r="36" spans="1:7" ht="13.5" thickBot="1" x14ac:dyDescent="0.25"/>
    <row r="37" spans="1:7" s="330" customFormat="1" ht="76.5" x14ac:dyDescent="0.2">
      <c r="A37" s="329" t="s">
        <v>130</v>
      </c>
      <c r="B37" s="148" t="s">
        <v>2</v>
      </c>
      <c r="C37" s="120" t="s">
        <v>111</v>
      </c>
      <c r="D37" s="120" t="s">
        <v>167</v>
      </c>
      <c r="E37" s="120" t="s">
        <v>113</v>
      </c>
      <c r="F37" s="120" t="s">
        <v>165</v>
      </c>
      <c r="G37" s="121" t="s">
        <v>166</v>
      </c>
    </row>
    <row r="38" spans="1:7" x14ac:dyDescent="0.2">
      <c r="A38" s="332">
        <v>-1</v>
      </c>
      <c r="B38" s="88">
        <v>2018</v>
      </c>
      <c r="C38" s="94">
        <f t="shared" ref="C38:G47" si="3">ROUND(C2,-3)</f>
        <v>0</v>
      </c>
      <c r="D38" s="94">
        <f t="shared" si="3"/>
        <v>0</v>
      </c>
      <c r="E38" s="94">
        <f t="shared" si="3"/>
        <v>0</v>
      </c>
      <c r="F38" s="94">
        <f t="shared" si="3"/>
        <v>0</v>
      </c>
      <c r="G38" s="152">
        <f t="shared" si="3"/>
        <v>0</v>
      </c>
    </row>
    <row r="39" spans="1:7" x14ac:dyDescent="0.2">
      <c r="A39" s="332">
        <v>0</v>
      </c>
      <c r="B39" s="90">
        <f>B38+1</f>
        <v>2019</v>
      </c>
      <c r="C39" s="94">
        <f t="shared" si="3"/>
        <v>0</v>
      </c>
      <c r="D39" s="94">
        <f t="shared" si="3"/>
        <v>0</v>
      </c>
      <c r="E39" s="94">
        <f t="shared" si="3"/>
        <v>0</v>
      </c>
      <c r="F39" s="94">
        <f t="shared" si="3"/>
        <v>0</v>
      </c>
      <c r="G39" s="152">
        <f t="shared" si="3"/>
        <v>0</v>
      </c>
    </row>
    <row r="40" spans="1:7" x14ac:dyDescent="0.2">
      <c r="A40" s="332">
        <v>1</v>
      </c>
      <c r="B40" s="90">
        <f t="shared" ref="B40:B69" si="4">B39+1</f>
        <v>2020</v>
      </c>
      <c r="C40" s="94">
        <f t="shared" si="3"/>
        <v>14000</v>
      </c>
      <c r="D40" s="94">
        <f t="shared" si="3"/>
        <v>0</v>
      </c>
      <c r="E40" s="94">
        <f t="shared" si="3"/>
        <v>15000</v>
      </c>
      <c r="F40" s="94">
        <f t="shared" si="3"/>
        <v>29000</v>
      </c>
      <c r="G40" s="152">
        <f t="shared" si="3"/>
        <v>26000</v>
      </c>
    </row>
    <row r="41" spans="1:7" x14ac:dyDescent="0.2">
      <c r="A41" s="332">
        <f>1+A40</f>
        <v>2</v>
      </c>
      <c r="B41" s="90">
        <f t="shared" si="4"/>
        <v>2021</v>
      </c>
      <c r="C41" s="95">
        <f t="shared" si="3"/>
        <v>15000</v>
      </c>
      <c r="D41" s="95">
        <f t="shared" si="3"/>
        <v>0</v>
      </c>
      <c r="E41" s="95">
        <f t="shared" si="3"/>
        <v>17000</v>
      </c>
      <c r="F41" s="95">
        <f t="shared" si="3"/>
        <v>32000</v>
      </c>
      <c r="G41" s="153">
        <f t="shared" si="3"/>
        <v>26000</v>
      </c>
    </row>
    <row r="42" spans="1:7" x14ac:dyDescent="0.2">
      <c r="A42" s="332">
        <f t="shared" ref="A42:A69" si="5">1+A41</f>
        <v>3</v>
      </c>
      <c r="B42" s="90">
        <f t="shared" si="4"/>
        <v>2022</v>
      </c>
      <c r="C42" s="95">
        <f t="shared" si="3"/>
        <v>15000</v>
      </c>
      <c r="D42" s="95">
        <f t="shared" si="3"/>
        <v>0</v>
      </c>
      <c r="E42" s="95">
        <f t="shared" si="3"/>
        <v>17000</v>
      </c>
      <c r="F42" s="95">
        <f t="shared" si="3"/>
        <v>32000</v>
      </c>
      <c r="G42" s="153">
        <f t="shared" si="3"/>
        <v>24000</v>
      </c>
    </row>
    <row r="43" spans="1:7" x14ac:dyDescent="0.2">
      <c r="A43" s="332">
        <f t="shared" si="5"/>
        <v>4</v>
      </c>
      <c r="B43" s="90">
        <f t="shared" si="4"/>
        <v>2023</v>
      </c>
      <c r="C43" s="95">
        <f t="shared" si="3"/>
        <v>15000</v>
      </c>
      <c r="D43" s="95">
        <f t="shared" si="3"/>
        <v>0</v>
      </c>
      <c r="E43" s="95">
        <f t="shared" si="3"/>
        <v>17000</v>
      </c>
      <c r="F43" s="95">
        <f t="shared" si="3"/>
        <v>32000</v>
      </c>
      <c r="G43" s="153">
        <f t="shared" si="3"/>
        <v>23000</v>
      </c>
    </row>
    <row r="44" spans="1:7" x14ac:dyDescent="0.2">
      <c r="A44" s="332">
        <f t="shared" si="5"/>
        <v>5</v>
      </c>
      <c r="B44" s="90">
        <f t="shared" si="4"/>
        <v>2024</v>
      </c>
      <c r="C44" s="95">
        <f t="shared" si="3"/>
        <v>15000</v>
      </c>
      <c r="D44" s="95">
        <f t="shared" si="3"/>
        <v>0</v>
      </c>
      <c r="E44" s="95">
        <f t="shared" si="3"/>
        <v>17000</v>
      </c>
      <c r="F44" s="95">
        <f t="shared" si="3"/>
        <v>32000</v>
      </c>
      <c r="G44" s="153">
        <f t="shared" si="3"/>
        <v>21000</v>
      </c>
    </row>
    <row r="45" spans="1:7" x14ac:dyDescent="0.2">
      <c r="A45" s="332">
        <f t="shared" si="5"/>
        <v>6</v>
      </c>
      <c r="B45" s="90">
        <f t="shared" si="4"/>
        <v>2025</v>
      </c>
      <c r="C45" s="95">
        <f t="shared" si="3"/>
        <v>15000</v>
      </c>
      <c r="D45" s="95">
        <f t="shared" si="3"/>
        <v>0</v>
      </c>
      <c r="E45" s="95">
        <f t="shared" si="3"/>
        <v>17000</v>
      </c>
      <c r="F45" s="95">
        <f t="shared" si="3"/>
        <v>32000</v>
      </c>
      <c r="G45" s="153">
        <f t="shared" si="3"/>
        <v>20000</v>
      </c>
    </row>
    <row r="46" spans="1:7" x14ac:dyDescent="0.2">
      <c r="A46" s="332">
        <f t="shared" si="5"/>
        <v>7</v>
      </c>
      <c r="B46" s="90">
        <f t="shared" si="4"/>
        <v>2026</v>
      </c>
      <c r="C46" s="95">
        <f t="shared" si="3"/>
        <v>15000</v>
      </c>
      <c r="D46" s="95">
        <f t="shared" si="3"/>
        <v>0</v>
      </c>
      <c r="E46" s="95">
        <f t="shared" si="3"/>
        <v>17000</v>
      </c>
      <c r="F46" s="95">
        <f t="shared" si="3"/>
        <v>32000</v>
      </c>
      <c r="G46" s="153">
        <f t="shared" si="3"/>
        <v>19000</v>
      </c>
    </row>
    <row r="47" spans="1:7" x14ac:dyDescent="0.2">
      <c r="A47" s="332">
        <f t="shared" si="5"/>
        <v>8</v>
      </c>
      <c r="B47" s="90">
        <f t="shared" si="4"/>
        <v>2027</v>
      </c>
      <c r="C47" s="95">
        <f t="shared" si="3"/>
        <v>15000</v>
      </c>
      <c r="D47" s="95">
        <f t="shared" si="3"/>
        <v>0</v>
      </c>
      <c r="E47" s="95">
        <f t="shared" si="3"/>
        <v>17000</v>
      </c>
      <c r="F47" s="95">
        <f t="shared" si="3"/>
        <v>32000</v>
      </c>
      <c r="G47" s="153">
        <f t="shared" si="3"/>
        <v>17000</v>
      </c>
    </row>
    <row r="48" spans="1:7" x14ac:dyDescent="0.2">
      <c r="A48" s="332">
        <f t="shared" si="5"/>
        <v>9</v>
      </c>
      <c r="B48" s="90">
        <f t="shared" si="4"/>
        <v>2028</v>
      </c>
      <c r="C48" s="95">
        <f t="shared" ref="C48:G57" si="6">ROUND(C12,-3)</f>
        <v>15000</v>
      </c>
      <c r="D48" s="95">
        <f t="shared" si="6"/>
        <v>0</v>
      </c>
      <c r="E48" s="95">
        <f t="shared" si="6"/>
        <v>17000</v>
      </c>
      <c r="F48" s="95">
        <f t="shared" si="6"/>
        <v>32000</v>
      </c>
      <c r="G48" s="153">
        <f t="shared" si="6"/>
        <v>16000</v>
      </c>
    </row>
    <row r="49" spans="1:7" x14ac:dyDescent="0.2">
      <c r="A49" s="332">
        <f t="shared" si="5"/>
        <v>10</v>
      </c>
      <c r="B49" s="90">
        <f t="shared" si="4"/>
        <v>2029</v>
      </c>
      <c r="C49" s="95">
        <f t="shared" si="6"/>
        <v>15000</v>
      </c>
      <c r="D49" s="95">
        <f t="shared" si="6"/>
        <v>0</v>
      </c>
      <c r="E49" s="95">
        <f t="shared" si="6"/>
        <v>17000</v>
      </c>
      <c r="F49" s="95">
        <f t="shared" si="6"/>
        <v>32000</v>
      </c>
      <c r="G49" s="153">
        <f t="shared" si="6"/>
        <v>15000</v>
      </c>
    </row>
    <row r="50" spans="1:7" x14ac:dyDescent="0.2">
      <c r="A50" s="332">
        <f t="shared" si="5"/>
        <v>11</v>
      </c>
      <c r="B50" s="90">
        <f t="shared" si="4"/>
        <v>2030</v>
      </c>
      <c r="C50" s="95">
        <f t="shared" si="6"/>
        <v>15000</v>
      </c>
      <c r="D50" s="95">
        <f t="shared" si="6"/>
        <v>0</v>
      </c>
      <c r="E50" s="95">
        <f t="shared" si="6"/>
        <v>17000</v>
      </c>
      <c r="F50" s="95">
        <f t="shared" si="6"/>
        <v>32000</v>
      </c>
      <c r="G50" s="153">
        <f t="shared" si="6"/>
        <v>14000</v>
      </c>
    </row>
    <row r="51" spans="1:7" x14ac:dyDescent="0.2">
      <c r="A51" s="332">
        <f t="shared" si="5"/>
        <v>12</v>
      </c>
      <c r="B51" s="90">
        <f t="shared" si="4"/>
        <v>2031</v>
      </c>
      <c r="C51" s="95">
        <f t="shared" si="6"/>
        <v>15000</v>
      </c>
      <c r="D51" s="95">
        <f t="shared" si="6"/>
        <v>0</v>
      </c>
      <c r="E51" s="95">
        <f t="shared" si="6"/>
        <v>17000</v>
      </c>
      <c r="F51" s="95">
        <f t="shared" si="6"/>
        <v>32000</v>
      </c>
      <c r="G51" s="153">
        <f t="shared" si="6"/>
        <v>13000</v>
      </c>
    </row>
    <row r="52" spans="1:7" x14ac:dyDescent="0.2">
      <c r="A52" s="332">
        <f t="shared" si="5"/>
        <v>13</v>
      </c>
      <c r="B52" s="90">
        <f t="shared" si="4"/>
        <v>2032</v>
      </c>
      <c r="C52" s="95">
        <f t="shared" si="6"/>
        <v>15000</v>
      </c>
      <c r="D52" s="95">
        <f t="shared" si="6"/>
        <v>0</v>
      </c>
      <c r="E52" s="95">
        <f t="shared" si="6"/>
        <v>17000</v>
      </c>
      <c r="F52" s="95">
        <f t="shared" si="6"/>
        <v>32000</v>
      </c>
      <c r="G52" s="153">
        <f t="shared" si="6"/>
        <v>12000</v>
      </c>
    </row>
    <row r="53" spans="1:7" x14ac:dyDescent="0.2">
      <c r="A53" s="332">
        <f t="shared" si="5"/>
        <v>14</v>
      </c>
      <c r="B53" s="90">
        <f t="shared" si="4"/>
        <v>2033</v>
      </c>
      <c r="C53" s="95">
        <f t="shared" si="6"/>
        <v>15000</v>
      </c>
      <c r="D53" s="95">
        <f t="shared" si="6"/>
        <v>0</v>
      </c>
      <c r="E53" s="95">
        <f t="shared" si="6"/>
        <v>17000</v>
      </c>
      <c r="F53" s="95">
        <f t="shared" si="6"/>
        <v>32000</v>
      </c>
      <c r="G53" s="153">
        <f t="shared" si="6"/>
        <v>12000</v>
      </c>
    </row>
    <row r="54" spans="1:7" x14ac:dyDescent="0.2">
      <c r="A54" s="332">
        <f t="shared" si="5"/>
        <v>15</v>
      </c>
      <c r="B54" s="90">
        <f t="shared" si="4"/>
        <v>2034</v>
      </c>
      <c r="C54" s="95">
        <f t="shared" si="6"/>
        <v>15000</v>
      </c>
      <c r="D54" s="95">
        <f t="shared" si="6"/>
        <v>0</v>
      </c>
      <c r="E54" s="95">
        <f t="shared" si="6"/>
        <v>17000</v>
      </c>
      <c r="F54" s="95">
        <f t="shared" si="6"/>
        <v>32000</v>
      </c>
      <c r="G54" s="153">
        <f t="shared" si="6"/>
        <v>11000</v>
      </c>
    </row>
    <row r="55" spans="1:7" x14ac:dyDescent="0.2">
      <c r="A55" s="332">
        <f t="shared" si="5"/>
        <v>16</v>
      </c>
      <c r="B55" s="90">
        <f t="shared" si="4"/>
        <v>2035</v>
      </c>
      <c r="C55" s="95">
        <f t="shared" si="6"/>
        <v>15000</v>
      </c>
      <c r="D55" s="95">
        <f t="shared" si="6"/>
        <v>0</v>
      </c>
      <c r="E55" s="95">
        <f t="shared" si="6"/>
        <v>17000</v>
      </c>
      <c r="F55" s="95">
        <f t="shared" si="6"/>
        <v>32000</v>
      </c>
      <c r="G55" s="153">
        <f t="shared" si="6"/>
        <v>10000</v>
      </c>
    </row>
    <row r="56" spans="1:7" x14ac:dyDescent="0.2">
      <c r="A56" s="332">
        <f t="shared" si="5"/>
        <v>17</v>
      </c>
      <c r="B56" s="90">
        <f t="shared" si="4"/>
        <v>2036</v>
      </c>
      <c r="C56" s="95">
        <f t="shared" si="6"/>
        <v>15000</v>
      </c>
      <c r="D56" s="95">
        <f t="shared" si="6"/>
        <v>0</v>
      </c>
      <c r="E56" s="95">
        <f t="shared" si="6"/>
        <v>17000</v>
      </c>
      <c r="F56" s="95">
        <f t="shared" si="6"/>
        <v>32000</v>
      </c>
      <c r="G56" s="153">
        <f t="shared" si="6"/>
        <v>9000</v>
      </c>
    </row>
    <row r="57" spans="1:7" x14ac:dyDescent="0.2">
      <c r="A57" s="332">
        <f t="shared" si="5"/>
        <v>18</v>
      </c>
      <c r="B57" s="90">
        <f t="shared" si="4"/>
        <v>2037</v>
      </c>
      <c r="C57" s="95">
        <f t="shared" si="6"/>
        <v>15000</v>
      </c>
      <c r="D57" s="95">
        <f t="shared" si="6"/>
        <v>0</v>
      </c>
      <c r="E57" s="95">
        <f t="shared" si="6"/>
        <v>17000</v>
      </c>
      <c r="F57" s="95">
        <f t="shared" si="6"/>
        <v>32000</v>
      </c>
      <c r="G57" s="153">
        <f t="shared" si="6"/>
        <v>9000</v>
      </c>
    </row>
    <row r="58" spans="1:7" x14ac:dyDescent="0.2">
      <c r="A58" s="332">
        <f t="shared" si="5"/>
        <v>19</v>
      </c>
      <c r="B58" s="90">
        <f t="shared" si="4"/>
        <v>2038</v>
      </c>
      <c r="C58" s="95">
        <f t="shared" ref="C58:G67" si="7">ROUND(C22,-3)</f>
        <v>15000</v>
      </c>
      <c r="D58" s="95">
        <f t="shared" si="7"/>
        <v>0</v>
      </c>
      <c r="E58" s="95">
        <f t="shared" si="7"/>
        <v>17000</v>
      </c>
      <c r="F58" s="95">
        <f t="shared" si="7"/>
        <v>32000</v>
      </c>
      <c r="G58" s="153">
        <f t="shared" si="7"/>
        <v>8000</v>
      </c>
    </row>
    <row r="59" spans="1:7" x14ac:dyDescent="0.2">
      <c r="A59" s="332">
        <f t="shared" si="5"/>
        <v>20</v>
      </c>
      <c r="B59" s="90">
        <f t="shared" si="4"/>
        <v>2039</v>
      </c>
      <c r="C59" s="95">
        <f t="shared" si="7"/>
        <v>15000</v>
      </c>
      <c r="D59" s="95">
        <f t="shared" si="7"/>
        <v>0</v>
      </c>
      <c r="E59" s="95">
        <f t="shared" si="7"/>
        <v>17000</v>
      </c>
      <c r="F59" s="95">
        <f t="shared" si="7"/>
        <v>32000</v>
      </c>
      <c r="G59" s="153">
        <f t="shared" si="7"/>
        <v>8000</v>
      </c>
    </row>
    <row r="60" spans="1:7" x14ac:dyDescent="0.2">
      <c r="A60" s="332">
        <f t="shared" si="5"/>
        <v>21</v>
      </c>
      <c r="B60" s="90">
        <f t="shared" si="4"/>
        <v>2040</v>
      </c>
      <c r="C60" s="95">
        <f t="shared" si="7"/>
        <v>15000</v>
      </c>
      <c r="D60" s="95">
        <f t="shared" si="7"/>
        <v>0</v>
      </c>
      <c r="E60" s="95">
        <f t="shared" si="7"/>
        <v>17000</v>
      </c>
      <c r="F60" s="95">
        <f t="shared" si="7"/>
        <v>32000</v>
      </c>
      <c r="G60" s="153">
        <f t="shared" si="7"/>
        <v>7000</v>
      </c>
    </row>
    <row r="61" spans="1:7" x14ac:dyDescent="0.2">
      <c r="A61" s="332">
        <f t="shared" si="5"/>
        <v>22</v>
      </c>
      <c r="B61" s="90">
        <f t="shared" si="4"/>
        <v>2041</v>
      </c>
      <c r="C61" s="95">
        <f t="shared" si="7"/>
        <v>15000</v>
      </c>
      <c r="D61" s="95">
        <f t="shared" si="7"/>
        <v>0</v>
      </c>
      <c r="E61" s="95">
        <f t="shared" si="7"/>
        <v>17000</v>
      </c>
      <c r="F61" s="95">
        <f t="shared" si="7"/>
        <v>32000</v>
      </c>
      <c r="G61" s="153">
        <f t="shared" si="7"/>
        <v>7000</v>
      </c>
    </row>
    <row r="62" spans="1:7" x14ac:dyDescent="0.2">
      <c r="A62" s="332">
        <f t="shared" si="5"/>
        <v>23</v>
      </c>
      <c r="B62" s="90">
        <f t="shared" si="4"/>
        <v>2042</v>
      </c>
      <c r="C62" s="95">
        <f t="shared" si="7"/>
        <v>15000</v>
      </c>
      <c r="D62" s="95">
        <f t="shared" si="7"/>
        <v>0</v>
      </c>
      <c r="E62" s="95">
        <f t="shared" si="7"/>
        <v>17000</v>
      </c>
      <c r="F62" s="95">
        <f t="shared" si="7"/>
        <v>32000</v>
      </c>
      <c r="G62" s="153">
        <f t="shared" si="7"/>
        <v>6000</v>
      </c>
    </row>
    <row r="63" spans="1:7" x14ac:dyDescent="0.2">
      <c r="A63" s="332">
        <f t="shared" si="5"/>
        <v>24</v>
      </c>
      <c r="B63" s="90">
        <f t="shared" si="4"/>
        <v>2043</v>
      </c>
      <c r="C63" s="95">
        <f t="shared" si="7"/>
        <v>15000</v>
      </c>
      <c r="D63" s="95">
        <f t="shared" si="7"/>
        <v>0</v>
      </c>
      <c r="E63" s="95">
        <f t="shared" si="7"/>
        <v>17000</v>
      </c>
      <c r="F63" s="95">
        <f t="shared" si="7"/>
        <v>32000</v>
      </c>
      <c r="G63" s="153">
        <f t="shared" si="7"/>
        <v>6000</v>
      </c>
    </row>
    <row r="64" spans="1:7" x14ac:dyDescent="0.2">
      <c r="A64" s="332">
        <f t="shared" si="5"/>
        <v>25</v>
      </c>
      <c r="B64" s="90">
        <f t="shared" si="4"/>
        <v>2044</v>
      </c>
      <c r="C64" s="95">
        <f t="shared" si="7"/>
        <v>15000</v>
      </c>
      <c r="D64" s="95">
        <f t="shared" si="7"/>
        <v>0</v>
      </c>
      <c r="E64" s="95">
        <f t="shared" si="7"/>
        <v>17000</v>
      </c>
      <c r="F64" s="95">
        <f t="shared" si="7"/>
        <v>32000</v>
      </c>
      <c r="G64" s="153">
        <f t="shared" si="7"/>
        <v>5000</v>
      </c>
    </row>
    <row r="65" spans="1:7" x14ac:dyDescent="0.2">
      <c r="A65" s="332">
        <f t="shared" si="5"/>
        <v>26</v>
      </c>
      <c r="B65" s="90">
        <f t="shared" si="4"/>
        <v>2045</v>
      </c>
      <c r="C65" s="95">
        <f t="shared" si="7"/>
        <v>15000</v>
      </c>
      <c r="D65" s="95">
        <f t="shared" si="7"/>
        <v>0</v>
      </c>
      <c r="E65" s="95">
        <f t="shared" si="7"/>
        <v>17000</v>
      </c>
      <c r="F65" s="95">
        <f t="shared" si="7"/>
        <v>32000</v>
      </c>
      <c r="G65" s="153">
        <f t="shared" si="7"/>
        <v>5000</v>
      </c>
    </row>
    <row r="66" spans="1:7" x14ac:dyDescent="0.2">
      <c r="A66" s="332">
        <f t="shared" si="5"/>
        <v>27</v>
      </c>
      <c r="B66" s="90">
        <f t="shared" si="4"/>
        <v>2046</v>
      </c>
      <c r="C66" s="95">
        <f t="shared" si="7"/>
        <v>15000</v>
      </c>
      <c r="D66" s="95">
        <f t="shared" si="7"/>
        <v>0</v>
      </c>
      <c r="E66" s="95">
        <f t="shared" si="7"/>
        <v>17000</v>
      </c>
      <c r="F66" s="95">
        <f t="shared" si="7"/>
        <v>32000</v>
      </c>
      <c r="G66" s="153">
        <f t="shared" si="7"/>
        <v>5000</v>
      </c>
    </row>
    <row r="67" spans="1:7" x14ac:dyDescent="0.2">
      <c r="A67" s="332">
        <f t="shared" si="5"/>
        <v>28</v>
      </c>
      <c r="B67" s="90">
        <f t="shared" si="4"/>
        <v>2047</v>
      </c>
      <c r="C67" s="95">
        <f t="shared" si="7"/>
        <v>15000</v>
      </c>
      <c r="D67" s="95">
        <f t="shared" si="7"/>
        <v>0</v>
      </c>
      <c r="E67" s="95">
        <f t="shared" si="7"/>
        <v>17000</v>
      </c>
      <c r="F67" s="95">
        <f t="shared" si="7"/>
        <v>32000</v>
      </c>
      <c r="G67" s="153">
        <f t="shared" si="7"/>
        <v>4000</v>
      </c>
    </row>
    <row r="68" spans="1:7" x14ac:dyDescent="0.2">
      <c r="A68" s="332">
        <f t="shared" si="5"/>
        <v>29</v>
      </c>
      <c r="B68" s="90">
        <f t="shared" si="4"/>
        <v>2048</v>
      </c>
      <c r="C68" s="95">
        <f t="shared" ref="C68:G70" si="8">ROUND(C32,-3)</f>
        <v>15000</v>
      </c>
      <c r="D68" s="95">
        <f t="shared" si="8"/>
        <v>0</v>
      </c>
      <c r="E68" s="95">
        <f t="shared" si="8"/>
        <v>17000</v>
      </c>
      <c r="F68" s="95">
        <f t="shared" si="8"/>
        <v>32000</v>
      </c>
      <c r="G68" s="153">
        <f t="shared" si="8"/>
        <v>4000</v>
      </c>
    </row>
    <row r="69" spans="1:7" x14ac:dyDescent="0.2">
      <c r="A69" s="332">
        <f t="shared" si="5"/>
        <v>30</v>
      </c>
      <c r="B69" s="90">
        <f t="shared" si="4"/>
        <v>2049</v>
      </c>
      <c r="C69" s="95">
        <f t="shared" si="8"/>
        <v>15000</v>
      </c>
      <c r="D69" s="95">
        <f t="shared" si="8"/>
        <v>0</v>
      </c>
      <c r="E69" s="95">
        <f t="shared" si="8"/>
        <v>17000</v>
      </c>
      <c r="F69" s="95">
        <f t="shared" si="8"/>
        <v>32000</v>
      </c>
      <c r="G69" s="153">
        <f t="shared" si="8"/>
        <v>4000</v>
      </c>
    </row>
    <row r="70" spans="1:7" ht="13.5" thickBot="1" x14ac:dyDescent="0.25">
      <c r="A70" s="604" t="s">
        <v>0</v>
      </c>
      <c r="B70" s="605"/>
      <c r="C70" s="154">
        <f t="shared" si="8"/>
        <v>448000</v>
      </c>
      <c r="D70" s="154">
        <f t="shared" si="8"/>
        <v>6000</v>
      </c>
      <c r="E70" s="154">
        <f t="shared" si="8"/>
        <v>502000</v>
      </c>
      <c r="F70" s="154">
        <f t="shared" si="8"/>
        <v>955000</v>
      </c>
      <c r="G70" s="155">
        <f t="shared" si="8"/>
        <v>368000</v>
      </c>
    </row>
  </sheetData>
  <mergeCells count="2">
    <mergeCell ref="A34:B34"/>
    <mergeCell ref="A70:B70"/>
  </mergeCells>
  <pageMargins left="0.7" right="0.7" top="0.75" bottom="0.75" header="0.3" footer="0.3"/>
  <pageSetup orientation="portrait" verticalDpi="0" r:id="rId1"/>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Normal="100" workbookViewId="0"/>
  </sheetViews>
  <sheetFormatPr defaultRowHeight="12.75" x14ac:dyDescent="0.2"/>
  <cols>
    <col min="1" max="2" width="8.7109375" style="333" customWidth="1"/>
    <col min="3" max="7" width="12.7109375" style="328" customWidth="1"/>
    <col min="8" max="16384" width="9.140625" style="328"/>
  </cols>
  <sheetData>
    <row r="1" spans="1:7" ht="76.5" x14ac:dyDescent="0.2">
      <c r="A1" s="329" t="s">
        <v>130</v>
      </c>
      <c r="B1" s="148" t="s">
        <v>2</v>
      </c>
      <c r="C1" s="120" t="s">
        <v>111</v>
      </c>
      <c r="D1" s="120" t="s">
        <v>112</v>
      </c>
      <c r="E1" s="120" t="s">
        <v>113</v>
      </c>
      <c r="F1" s="120" t="s">
        <v>114</v>
      </c>
      <c r="G1" s="121" t="s">
        <v>271</v>
      </c>
    </row>
    <row r="2" spans="1:7" x14ac:dyDescent="0.2">
      <c r="A2" s="332">
        <v>-1</v>
      </c>
      <c r="B2" s="88">
        <v>2018</v>
      </c>
      <c r="C2" s="89">
        <v>0</v>
      </c>
      <c r="D2" s="89">
        <v>0</v>
      </c>
      <c r="E2" s="89">
        <v>0</v>
      </c>
      <c r="F2" s="89">
        <v>0</v>
      </c>
      <c r="G2" s="151">
        <v>0</v>
      </c>
    </row>
    <row r="3" spans="1:7" x14ac:dyDescent="0.2">
      <c r="A3" s="332">
        <v>0</v>
      </c>
      <c r="B3" s="90">
        <f>B2+1</f>
        <v>2019</v>
      </c>
      <c r="C3" s="89">
        <v>0</v>
      </c>
      <c r="D3" s="89">
        <v>0</v>
      </c>
      <c r="E3" s="89">
        <v>0</v>
      </c>
      <c r="F3" s="89">
        <v>0</v>
      </c>
      <c r="G3" s="151">
        <v>0</v>
      </c>
    </row>
    <row r="4" spans="1:7" x14ac:dyDescent="0.2">
      <c r="A4" s="332">
        <f>A3+1</f>
        <v>1</v>
      </c>
      <c r="B4" s="90">
        <f t="shared" ref="B4:B33" si="0">B3+1</f>
        <v>2020</v>
      </c>
      <c r="C4" s="89">
        <f>'T10 Reduced Vessel Emissions'!D4*'T31 Env Input'!C7</f>
        <v>165686.1267253391</v>
      </c>
      <c r="D4" s="89">
        <f>'T10 Reduced Vessel Emissions'!E4*'T31 Env Input'!F7</f>
        <v>576028.44494611898</v>
      </c>
      <c r="E4" s="89">
        <f>'T10 Reduced Vessel Emissions'!G4*'T31 Env Input'!E5</f>
        <v>557299.26319688174</v>
      </c>
      <c r="F4" s="89">
        <f t="shared" ref="F4:F33" si="1">SUM(C4:E4)</f>
        <v>1299013.8348683398</v>
      </c>
      <c r="G4" s="151">
        <f>F4/((1+'T3 Inputs'!$B$4)^(B4-B$2))</f>
        <v>1134608.9919367104</v>
      </c>
    </row>
    <row r="5" spans="1:7" x14ac:dyDescent="0.2">
      <c r="A5" s="332">
        <f t="shared" ref="A5:A33" si="2">A4+1</f>
        <v>2</v>
      </c>
      <c r="B5" s="90">
        <f t="shared" si="0"/>
        <v>2021</v>
      </c>
      <c r="C5" s="89">
        <f>'T10 Reduced Vessel Emissions'!D5*'T31 Env Input'!C8</f>
        <v>168999.84925984583</v>
      </c>
      <c r="D5" s="89">
        <f>'T10 Reduced Vessel Emissions'!E5*'T31 Env Input'!F8</f>
        <v>587549.01384504139</v>
      </c>
      <c r="E5" s="89">
        <f>'T10 Reduced Vessel Emissions'!G5*'T31 Env Input'!E6</f>
        <v>568445.24846081936</v>
      </c>
      <c r="F5" s="89">
        <f t="shared" si="1"/>
        <v>1324994.1115657066</v>
      </c>
      <c r="G5" s="151">
        <f>F5/((1+'T3 Inputs'!$B$4)^(B5-B$2))</f>
        <v>1081589.8801639669</v>
      </c>
    </row>
    <row r="6" spans="1:7" x14ac:dyDescent="0.2">
      <c r="A6" s="332">
        <f t="shared" si="2"/>
        <v>3</v>
      </c>
      <c r="B6" s="90">
        <f t="shared" si="0"/>
        <v>2022</v>
      </c>
      <c r="C6" s="89">
        <f>'T10 Reduced Vessel Emissions'!D6*'T31 Env Input'!C9</f>
        <v>172379.84624504278</v>
      </c>
      <c r="D6" s="89">
        <f>'T10 Reduced Vessel Emissions'!E6*'T31 Env Input'!F9</f>
        <v>599299.9941219422</v>
      </c>
      <c r="E6" s="89">
        <f>'T10 Reduced Vessel Emissions'!G6*'T31 Env Input'!E7</f>
        <v>579814.1534300358</v>
      </c>
      <c r="F6" s="89">
        <f t="shared" si="1"/>
        <v>1351493.9937970208</v>
      </c>
      <c r="G6" s="151">
        <f>F6/((1+'T3 Inputs'!$B$4)^(B6-B$2))</f>
        <v>1031048.2969787349</v>
      </c>
    </row>
    <row r="7" spans="1:7" x14ac:dyDescent="0.2">
      <c r="A7" s="332">
        <f t="shared" si="2"/>
        <v>4</v>
      </c>
      <c r="B7" s="90">
        <f t="shared" si="0"/>
        <v>2023</v>
      </c>
      <c r="C7" s="89">
        <f>'T10 Reduced Vessel Emissions'!D7*'T31 Env Input'!C10</f>
        <v>175827.44316994364</v>
      </c>
      <c r="D7" s="89">
        <f>'T10 Reduced Vessel Emissions'!E7*'T31 Env Input'!F10</f>
        <v>611285.99400438112</v>
      </c>
      <c r="E7" s="89">
        <f>'T10 Reduced Vessel Emissions'!G7*'T31 Env Input'!E8</f>
        <v>591410.43649863661</v>
      </c>
      <c r="F7" s="89">
        <f t="shared" si="1"/>
        <v>1378523.8736729613</v>
      </c>
      <c r="G7" s="151">
        <f>F7/((1+'T3 Inputs'!$B$4)^(B7-B$2))</f>
        <v>982868.47001711174</v>
      </c>
    </row>
    <row r="8" spans="1:7" x14ac:dyDescent="0.2">
      <c r="A8" s="332">
        <f t="shared" si="2"/>
        <v>5</v>
      </c>
      <c r="B8" s="90">
        <f t="shared" si="0"/>
        <v>2024</v>
      </c>
      <c r="C8" s="89">
        <f>'T10 Reduced Vessel Emissions'!D8*'T31 Env Input'!C11</f>
        <v>179343.99203334251</v>
      </c>
      <c r="D8" s="89">
        <f>'T10 Reduced Vessel Emissions'!E8*'T31 Env Input'!F11</f>
        <v>623511.71388446877</v>
      </c>
      <c r="E8" s="89">
        <f>'T10 Reduced Vessel Emissions'!G8*'T31 Env Input'!E9</f>
        <v>603238.64522860933</v>
      </c>
      <c r="F8" s="89">
        <f t="shared" si="1"/>
        <v>1406094.3511464205</v>
      </c>
      <c r="G8" s="151">
        <f>F8/((1+'T3 Inputs'!$B$4)^(B8-B$2))</f>
        <v>936940.03683874209</v>
      </c>
    </row>
    <row r="9" spans="1:7" x14ac:dyDescent="0.2">
      <c r="A9" s="332">
        <f t="shared" si="2"/>
        <v>6</v>
      </c>
      <c r="B9" s="90">
        <f t="shared" si="0"/>
        <v>2025</v>
      </c>
      <c r="C9" s="89">
        <f>'T10 Reduced Vessel Emissions'!D9*'T31 Env Input'!C12</f>
        <v>182930.87187400935</v>
      </c>
      <c r="D9" s="89">
        <f>'T10 Reduced Vessel Emissions'!E9*'T31 Env Input'!F12</f>
        <v>635981.94816215802</v>
      </c>
      <c r="E9" s="89">
        <f>'T10 Reduced Vessel Emissions'!G9*'T31 Env Input'!E10</f>
        <v>615303.4181331814</v>
      </c>
      <c r="F9" s="89">
        <f t="shared" si="1"/>
        <v>1434216.2381693488</v>
      </c>
      <c r="G9" s="151">
        <f>F9/((1+'T3 Inputs'!$B$4)^(B9-B$2))</f>
        <v>893157.79212665127</v>
      </c>
    </row>
    <row r="10" spans="1:7" x14ac:dyDescent="0.2">
      <c r="A10" s="332">
        <f t="shared" si="2"/>
        <v>7</v>
      </c>
      <c r="B10" s="90">
        <f t="shared" si="0"/>
        <v>2026</v>
      </c>
      <c r="C10" s="89">
        <f>'T10 Reduced Vessel Emissions'!D10*'T31 Env Input'!C13</f>
        <v>186589.48931148954</v>
      </c>
      <c r="D10" s="89">
        <f>'T10 Reduced Vessel Emissions'!E10*'T31 Env Input'!F13</f>
        <v>648701.58712540125</v>
      </c>
      <c r="E10" s="89">
        <f>'T10 Reduced Vessel Emissions'!G10*'T31 Env Input'!E11</f>
        <v>627609.48649584502</v>
      </c>
      <c r="F10" s="89">
        <f t="shared" si="1"/>
        <v>1462900.5629327358</v>
      </c>
      <c r="G10" s="151">
        <f>F10/((1+'T3 Inputs'!$B$4)^(B10-B$2))</f>
        <v>851421.44670017227</v>
      </c>
    </row>
    <row r="11" spans="1:7" x14ac:dyDescent="0.2">
      <c r="A11" s="332">
        <f t="shared" si="2"/>
        <v>8</v>
      </c>
      <c r="B11" s="90">
        <f t="shared" si="0"/>
        <v>2027</v>
      </c>
      <c r="C11" s="89">
        <f>'T10 Reduced Vessel Emissions'!D11*'T31 Env Input'!C14</f>
        <v>190321.27909771932</v>
      </c>
      <c r="D11" s="89">
        <f>'T10 Reduced Vessel Emissions'!E11*'T31 Env Input'!F14</f>
        <v>661675.6188679093</v>
      </c>
      <c r="E11" s="89">
        <f>'T10 Reduced Vessel Emissions'!G11*'T31 Env Input'!E12</f>
        <v>640161.676225762</v>
      </c>
      <c r="F11" s="89">
        <f t="shared" si="1"/>
        <v>1492158.5741913905</v>
      </c>
      <c r="G11" s="151">
        <f>F11/((1+'T3 Inputs'!$B$4)^(B11-B$2))</f>
        <v>811635.39778894919</v>
      </c>
    </row>
    <row r="12" spans="1:7" x14ac:dyDescent="0.2">
      <c r="A12" s="332">
        <f t="shared" si="2"/>
        <v>9</v>
      </c>
      <c r="B12" s="90">
        <f t="shared" si="0"/>
        <v>2028</v>
      </c>
      <c r="C12" s="89">
        <f>'T10 Reduced Vessel Emissions'!D12*'T31 Env Input'!C15</f>
        <v>194127.70467967371</v>
      </c>
      <c r="D12" s="89">
        <f>'T10 Reduced Vessel Emissions'!E12*'T31 Env Input'!F15</f>
        <v>674909.13124526746</v>
      </c>
      <c r="E12" s="89">
        <f>'T10 Reduced Vessel Emissions'!G12*'T31 Env Input'!E13</f>
        <v>652964.90975027729</v>
      </c>
      <c r="F12" s="89">
        <f t="shared" si="1"/>
        <v>1522001.7456752183</v>
      </c>
      <c r="G12" s="151">
        <f>F12/((1+'T3 Inputs'!$B$4)^(B12-B$2))</f>
        <v>773708.51004180196</v>
      </c>
    </row>
    <row r="13" spans="1:7" x14ac:dyDescent="0.2">
      <c r="A13" s="332">
        <f t="shared" si="2"/>
        <v>10</v>
      </c>
      <c r="B13" s="90">
        <f t="shared" si="0"/>
        <v>2029</v>
      </c>
      <c r="C13" s="89">
        <f>'T10 Reduced Vessel Emissions'!D13*'T31 Env Input'!C16</f>
        <v>198010.25877326724</v>
      </c>
      <c r="D13" s="89">
        <f>'T10 Reduced Vessel Emissions'!E13*'T31 Env Input'!F16</f>
        <v>688407.31387017295</v>
      </c>
      <c r="E13" s="89">
        <f>'T10 Reduced Vessel Emissions'!G13*'T31 Env Input'!E14</f>
        <v>666024.20794528292</v>
      </c>
      <c r="F13" s="89">
        <f t="shared" si="1"/>
        <v>1552441.7805887233</v>
      </c>
      <c r="G13" s="151">
        <f>F13/((1+'T3 Inputs'!$B$4)^(B13-B$2))</f>
        <v>737553.90676882083</v>
      </c>
    </row>
    <row r="14" spans="1:7" x14ac:dyDescent="0.2">
      <c r="A14" s="332">
        <f t="shared" si="2"/>
        <v>11</v>
      </c>
      <c r="B14" s="90">
        <f t="shared" si="0"/>
        <v>2030</v>
      </c>
      <c r="C14" s="89">
        <f>'T10 Reduced Vessel Emissions'!D14*'T31 Env Input'!C17</f>
        <v>196827.94071199119</v>
      </c>
      <c r="D14" s="89">
        <f>'T10 Reduced Vessel Emissions'!E14*'T31 Env Input'!F17</f>
        <v>684296.83794965409</v>
      </c>
      <c r="E14" s="89">
        <f>'T10 Reduced Vessel Emissions'!G14*'T31 Env Input'!E15</f>
        <v>662047.38141528761</v>
      </c>
      <c r="F14" s="89">
        <f t="shared" si="1"/>
        <v>1543172.160076933</v>
      </c>
      <c r="G14" s="151">
        <f>F14/((1+'T3 Inputs'!$B$4)^(B14-B$2))</f>
        <v>685186.89424151659</v>
      </c>
    </row>
    <row r="15" spans="1:7" x14ac:dyDescent="0.2">
      <c r="A15" s="332">
        <f t="shared" si="2"/>
        <v>12</v>
      </c>
      <c r="B15" s="90">
        <f t="shared" si="0"/>
        <v>2031</v>
      </c>
      <c r="C15" s="89">
        <f>'T10 Reduced Vessel Emissions'!D15*'T31 Env Input'!C18</f>
        <v>195724.82675422437</v>
      </c>
      <c r="D15" s="89">
        <f>'T10 Reduced Vessel Emissions'!E15*'T31 Env Input'!F18</f>
        <v>680461.72495468298</v>
      </c>
      <c r="E15" s="89">
        <f>'T10 Reduced Vessel Emissions'!G15*'T31 Env Input'!E16</f>
        <v>658336.96456847002</v>
      </c>
      <c r="F15" s="89">
        <f t="shared" si="1"/>
        <v>1534523.5162773775</v>
      </c>
      <c r="G15" s="151">
        <f>F15/((1+'T3 Inputs'!$B$4)^(B15-B$2))</f>
        <v>636772.70370401931</v>
      </c>
    </row>
    <row r="16" spans="1:7" x14ac:dyDescent="0.2">
      <c r="A16" s="332">
        <f t="shared" si="2"/>
        <v>13</v>
      </c>
      <c r="B16" s="90">
        <f t="shared" si="0"/>
        <v>2032</v>
      </c>
      <c r="C16" s="89">
        <f>'T10 Reduced Vessel Emissions'!D16*'T31 Env Input'!C19</f>
        <v>194702.50098203719</v>
      </c>
      <c r="D16" s="89">
        <f>'T10 Reduced Vessel Emissions'!E16*'T31 Env Input'!F19</f>
        <v>676907.48214377125</v>
      </c>
      <c r="E16" s="89">
        <f>'T10 Reduced Vessel Emissions'!G16*'T31 Env Input'!E17</f>
        <v>654898.28559849458</v>
      </c>
      <c r="F16" s="89">
        <f t="shared" si="1"/>
        <v>1526508.268724303</v>
      </c>
      <c r="G16" s="151">
        <f>F16/((1+'T3 Inputs'!$B$4)^(B16-B$2))</f>
        <v>592006.2251667924</v>
      </c>
    </row>
    <row r="17" spans="1:7" x14ac:dyDescent="0.2">
      <c r="A17" s="332">
        <f t="shared" si="2"/>
        <v>14</v>
      </c>
      <c r="B17" s="90">
        <f t="shared" si="0"/>
        <v>2033</v>
      </c>
      <c r="C17" s="89">
        <f>'T10 Reduced Vessel Emissions'!D17*'T31 Env Input'!C20</f>
        <v>193762.57915914102</v>
      </c>
      <c r="D17" s="89">
        <f>'T10 Reduced Vessel Emissions'!E17*'T31 Env Input'!F20</f>
        <v>673639.7269205997</v>
      </c>
      <c r="E17" s="89">
        <f>'T10 Reduced Vessel Emissions'!G17*'T31 Env Input'!E18</f>
        <v>651736.77926289744</v>
      </c>
      <c r="F17" s="89">
        <f t="shared" si="1"/>
        <v>1519139.0853426382</v>
      </c>
      <c r="G17" s="151">
        <f>F17/((1+'T3 Inputs'!$B$4)^(B17-B$2))</f>
        <v>550605.91476557415</v>
      </c>
    </row>
    <row r="18" spans="1:7" x14ac:dyDescent="0.2">
      <c r="A18" s="332">
        <f t="shared" si="2"/>
        <v>15</v>
      </c>
      <c r="B18" s="90">
        <f t="shared" si="0"/>
        <v>2034</v>
      </c>
      <c r="C18" s="89">
        <f>'T10 Reduced Vessel Emissions'!D18*'T31 Env Input'!C21</f>
        <v>192906.70936452181</v>
      </c>
      <c r="D18" s="89">
        <f>'T10 Reduced Vessel Emissions'!E18*'T31 Env Input'!F21</f>
        <v>670664.18903692334</v>
      </c>
      <c r="E18" s="89">
        <f>'T10 Reduced Vessel Emissions'!G18*'T31 Env Input'!E19</f>
        <v>648857.98901436664</v>
      </c>
      <c r="F18" s="89">
        <f t="shared" si="1"/>
        <v>1512428.8874158119</v>
      </c>
      <c r="G18" s="151">
        <f>F18/((1+'T3 Inputs'!$B$4)^(B18-B$2))</f>
        <v>512311.99087475106</v>
      </c>
    </row>
    <row r="19" spans="1:7" x14ac:dyDescent="0.2">
      <c r="A19" s="332">
        <f t="shared" si="2"/>
        <v>16</v>
      </c>
      <c r="B19" s="90">
        <f t="shared" si="0"/>
        <v>2035</v>
      </c>
      <c r="C19" s="89">
        <f>'T10 Reduced Vessel Emissions'!D19*'T31 Env Input'!C22</f>
        <v>192136.57263874498</v>
      </c>
      <c r="D19" s="89">
        <f>'T10 Reduced Vessel Emissions'!E19*'T31 Env Input'!F22</f>
        <v>667986.7128395316</v>
      </c>
      <c r="E19" s="89">
        <f>'T10 Reduced Vessel Emissions'!G19*'T31 Env Input'!E20</f>
        <v>646267.56917464302</v>
      </c>
      <c r="F19" s="89">
        <f t="shared" si="1"/>
        <v>1506390.8546529196</v>
      </c>
      <c r="G19" s="151">
        <f>F19/((1+'T3 Inputs'!$B$4)^(B19-B$2))</f>
        <v>476884.76661245798</v>
      </c>
    </row>
    <row r="20" spans="1:7" x14ac:dyDescent="0.2">
      <c r="A20" s="332">
        <f t="shared" si="2"/>
        <v>17</v>
      </c>
      <c r="B20" s="90">
        <f t="shared" si="0"/>
        <v>2036</v>
      </c>
      <c r="C20" s="89">
        <f>'T10 Reduced Vessel Emissions'!D20*'T31 Env Input'!C23</f>
        <v>191453.8836431875</v>
      </c>
      <c r="D20" s="89">
        <f>'T10 Reduced Vessel Emissions'!E20*'T31 Env Input'!F23</f>
        <v>665613.25956215058</v>
      </c>
      <c r="E20" s="89">
        <f>'T10 Reduced Vessel Emissions'!G20*'T31 Env Input'!E21</f>
        <v>643971.28715190303</v>
      </c>
      <c r="F20" s="89">
        <f t="shared" si="1"/>
        <v>1501038.4303572411</v>
      </c>
      <c r="G20" s="151">
        <f>F20/((1+'T3 Inputs'!$B$4)^(B20-B$2))</f>
        <v>444103.10855471797</v>
      </c>
    </row>
    <row r="21" spans="1:7" x14ac:dyDescent="0.2">
      <c r="A21" s="332">
        <f t="shared" si="2"/>
        <v>18</v>
      </c>
      <c r="B21" s="90">
        <f t="shared" si="0"/>
        <v>2037</v>
      </c>
      <c r="C21" s="89">
        <f>'T10 Reduced Vessel Emissions'!D21*'T31 Env Input'!C24</f>
        <v>190860.39133245361</v>
      </c>
      <c r="D21" s="89">
        <f>'T10 Reduced Vessel Emissions'!E21*'T31 Env Input'!F24</f>
        <v>663549.90966318035</v>
      </c>
      <c r="E21" s="89">
        <f>'T10 Reduced Vessel Emissions'!G21*'T31 Env Input'!E22</f>
        <v>641975.02570248616</v>
      </c>
      <c r="F21" s="89">
        <f t="shared" si="1"/>
        <v>1496385.3266981202</v>
      </c>
      <c r="G21" s="151">
        <f>F21/((1+'T3 Inputs'!$B$4)^(B21-B$2))</f>
        <v>413763.01222717768</v>
      </c>
    </row>
    <row r="22" spans="1:7" x14ac:dyDescent="0.2">
      <c r="A22" s="332">
        <f t="shared" si="2"/>
        <v>19</v>
      </c>
      <c r="B22" s="90">
        <f t="shared" si="0"/>
        <v>2038</v>
      </c>
      <c r="C22" s="89">
        <f>'T10 Reduced Vessel Emissions'!D22*'T31 Env Input'!C25</f>
        <v>190357.87964023999</v>
      </c>
      <c r="D22" s="89">
        <f>'T10 Reduced Vessel Emissions'!E22*'T31 Env Input'!F25</f>
        <v>661802.86521018925</v>
      </c>
      <c r="E22" s="89">
        <f>'T10 Reduced Vessel Emissions'!G22*'T31 Env Input'!E23</f>
        <v>640284.78523785912</v>
      </c>
      <c r="F22" s="89">
        <f t="shared" si="1"/>
        <v>1492445.5300882882</v>
      </c>
      <c r="G22" s="151">
        <f>F22/((1+'T3 Inputs'!$B$4)^(B22-B$2))</f>
        <v>385676.28563943109</v>
      </c>
    </row>
    <row r="23" spans="1:7" x14ac:dyDescent="0.2">
      <c r="A23" s="332">
        <f t="shared" si="2"/>
        <v>20</v>
      </c>
      <c r="B23" s="90">
        <f t="shared" si="0"/>
        <v>2039</v>
      </c>
      <c r="C23" s="89">
        <f>'T10 Reduced Vessel Emissions'!D23*'T31 Env Input'!C26</f>
        <v>189948.16817891679</v>
      </c>
      <c r="D23" s="89">
        <f>'T10 Reduced Vessel Emissions'!E23*'T31 Env Input'!F26</f>
        <v>660378.45231209672</v>
      </c>
      <c r="E23" s="89">
        <f>'T10 Reduced Vessel Emissions'!G23*'T31 Env Input'!E24</f>
        <v>638906.68617771741</v>
      </c>
      <c r="F23" s="89">
        <f t="shared" si="1"/>
        <v>1489233.3066687309</v>
      </c>
      <c r="G23" s="151">
        <f>F23/((1+'T3 Inputs'!$B$4)^(B23-B$2))</f>
        <v>359669.33277246146</v>
      </c>
    </row>
    <row r="24" spans="1:7" x14ac:dyDescent="0.2">
      <c r="A24" s="332">
        <f t="shared" si="2"/>
        <v>21</v>
      </c>
      <c r="B24" s="90">
        <f t="shared" si="0"/>
        <v>2040</v>
      </c>
      <c r="C24" s="89">
        <f>'T10 Reduced Vessel Emissions'!D24*'T31 Env Input'!C27</f>
        <v>189633.11295310201</v>
      </c>
      <c r="D24" s="89">
        <f>'T10 Reduced Vessel Emissions'!E24*'T31 Env Input'!F27</f>
        <v>659283.12360000075</v>
      </c>
      <c r="E24" s="89">
        <f>'T10 Reduced Vessel Emissions'!G24*'T31 Env Input'!E25</f>
        <v>637846.97135015088</v>
      </c>
      <c r="F24" s="89">
        <f t="shared" si="1"/>
        <v>1486763.2079032536</v>
      </c>
      <c r="G24" s="151">
        <f>F24/((1+'T3 Inputs'!$B$4)^(B24-B$2))</f>
        <v>335582.02952808747</v>
      </c>
    </row>
    <row r="25" spans="1:7" x14ac:dyDescent="0.2">
      <c r="A25" s="332">
        <f t="shared" si="2"/>
        <v>22</v>
      </c>
      <c r="B25" s="90">
        <f t="shared" si="0"/>
        <v>2041</v>
      </c>
      <c r="C25" s="89">
        <f>'T10 Reduced Vessel Emissions'!D25*'T31 Env Input'!C28</f>
        <v>189414.60708750578</v>
      </c>
      <c r="D25" s="89">
        <f>'T10 Reduced Vessel Emissions'!E25*'T31 Env Input'!F28</f>
        <v>658523.46075762133</v>
      </c>
      <c r="E25" s="89">
        <f>'T10 Reduced Vessel Emissions'!G25*'T31 Env Input'!E26</f>
        <v>637112.00843981118</v>
      </c>
      <c r="F25" s="89">
        <f t="shared" si="1"/>
        <v>1485050.0762849383</v>
      </c>
      <c r="G25" s="151">
        <f>F25/((1+'T3 Inputs'!$B$4)^(B25-B$2))</f>
        <v>313266.68520387722</v>
      </c>
    </row>
    <row r="26" spans="1:7" x14ac:dyDescent="0.2">
      <c r="A26" s="332">
        <f t="shared" si="2"/>
        <v>23</v>
      </c>
      <c r="B26" s="90">
        <f t="shared" si="0"/>
        <v>2042</v>
      </c>
      <c r="C26" s="89">
        <f>'T10 Reduced Vessel Emissions'!D26*'T31 Env Input'!C29</f>
        <v>189294.58156933245</v>
      </c>
      <c r="D26" s="89">
        <f>'T10 Reduced Vessel Emissions'!E26*'T31 Env Input'!F29</f>
        <v>658106.17710235273</v>
      </c>
      <c r="E26" s="89">
        <f>'T10 Reduced Vessel Emissions'!G26*'T31 Env Input'!E27</f>
        <v>636708.29248504248</v>
      </c>
      <c r="F26" s="89">
        <f t="shared" si="1"/>
        <v>1484109.0511567276</v>
      </c>
      <c r="G26" s="151">
        <f>F26/((1+'T3 Inputs'!$B$4)^(B26-B$2))</f>
        <v>292587.08307096415</v>
      </c>
    </row>
    <row r="27" spans="1:7" x14ac:dyDescent="0.2">
      <c r="A27" s="332">
        <f t="shared" si="2"/>
        <v>24</v>
      </c>
      <c r="B27" s="90">
        <f t="shared" si="0"/>
        <v>2043</v>
      </c>
      <c r="C27" s="89">
        <f>'T10 Reduced Vessel Emissions'!D27*'T31 Env Input'!C30</f>
        <v>189275.00600553045</v>
      </c>
      <c r="D27" s="89">
        <f>'T10 Reduced Vessel Emissions'!E27*'T31 Env Input'!F30</f>
        <v>658038.12021793728</v>
      </c>
      <c r="E27" s="89">
        <f>'T10 Reduced Vessel Emissions'!G27*'T31 Env Input'!E28</f>
        <v>636642.44842495664</v>
      </c>
      <c r="F27" s="89">
        <f t="shared" si="1"/>
        <v>1483955.5746484245</v>
      </c>
      <c r="G27" s="151">
        <f>F27/((1+'T3 Inputs'!$B$4)^(B27-B$2))</f>
        <v>273417.5941085146</v>
      </c>
    </row>
    <row r="28" spans="1:7" x14ac:dyDescent="0.2">
      <c r="A28" s="332">
        <f t="shared" si="2"/>
        <v>25</v>
      </c>
      <c r="B28" s="90">
        <f t="shared" si="0"/>
        <v>2044</v>
      </c>
      <c r="C28" s="89">
        <f>'T10 Reduced Vessel Emissions'!D28*'T31 Env Input'!C31</f>
        <v>189357.88939518729</v>
      </c>
      <c r="D28" s="89">
        <f>'T10 Reduced Vessel Emissions'!E28*'T31 Env Input'!F31</f>
        <v>658326.27463979181</v>
      </c>
      <c r="E28" s="89">
        <f>'T10 Reduced Vessel Emissions'!G28*'T31 Env Input'!E29</f>
        <v>636921.23369744699</v>
      </c>
      <c r="F28" s="89">
        <f t="shared" si="1"/>
        <v>1484605.3977324259</v>
      </c>
      <c r="G28" s="151">
        <f>F28/((1+'T3 Inputs'!$B$4)^(B28-B$2))</f>
        <v>255642.35838997838</v>
      </c>
    </row>
    <row r="29" spans="1:7" x14ac:dyDescent="0.2">
      <c r="A29" s="332">
        <f t="shared" si="2"/>
        <v>26</v>
      </c>
      <c r="B29" s="90">
        <f t="shared" si="0"/>
        <v>2045</v>
      </c>
      <c r="C29" s="89">
        <f>'T10 Reduced Vessel Emissions'!D29*'T31 Env Input'!C32</f>
        <v>189545.28091737209</v>
      </c>
      <c r="D29" s="89">
        <f>'T10 Reduced Vessel Emissions'!E29*'T31 Env Input'!F32</f>
        <v>658977.76459404209</v>
      </c>
      <c r="E29" s="89">
        <f>'T10 Reduced Vessel Emissions'!G29*'T31 Env Input'!E30</f>
        <v>637551.54088916525</v>
      </c>
      <c r="F29" s="89">
        <f t="shared" si="1"/>
        <v>1486074.5864005794</v>
      </c>
      <c r="G29" s="151">
        <f>F29/((1+'T3 Inputs'!$B$4)^(B29-B$2))</f>
        <v>239154.52902525032</v>
      </c>
    </row>
    <row r="30" spans="1:7" x14ac:dyDescent="0.2">
      <c r="A30" s="332">
        <f t="shared" si="2"/>
        <v>27</v>
      </c>
      <c r="B30" s="90">
        <f t="shared" si="0"/>
        <v>2046</v>
      </c>
      <c r="C30" s="89">
        <f>'T10 Reduced Vessel Emissions'!D30*'T31 Env Input'!C33</f>
        <v>189839.27073473539</v>
      </c>
      <c r="D30" s="89">
        <f>'T10 Reduced Vessel Emissions'!E30*'T31 Env Input'!F33</f>
        <v>659999.85679133586</v>
      </c>
      <c r="E30" s="89">
        <f>'T10 Reduced Vessel Emissions'!G30*'T31 Env Input'!E31</f>
        <v>638540.40043849591</v>
      </c>
      <c r="F30" s="89">
        <f t="shared" si="1"/>
        <v>1488379.5279645673</v>
      </c>
      <c r="G30" s="151">
        <f>F30/((1+'T3 Inputs'!$B$4)^(B30-B$2))</f>
        <v>223855.57394182141</v>
      </c>
    </row>
    <row r="31" spans="1:7" x14ac:dyDescent="0.2">
      <c r="A31" s="332">
        <f t="shared" si="2"/>
        <v>28</v>
      </c>
      <c r="B31" s="90">
        <f t="shared" si="0"/>
        <v>2047</v>
      </c>
      <c r="C31" s="89">
        <f>'T10 Reduced Vessel Emissions'!D31*'T31 Env Input'!C34</f>
        <v>190241.99081318075</v>
      </c>
      <c r="D31" s="89">
        <f>'T10 Reduced Vessel Emissions'!E31*'T31 Env Input'!F34</f>
        <v>661399.96327653353</v>
      </c>
      <c r="E31" s="89">
        <f>'T10 Reduced Vessel Emissions'!G31*'T31 Env Input'!E32</f>
        <v>639894.98339259101</v>
      </c>
      <c r="F31" s="89">
        <f t="shared" si="1"/>
        <v>1491536.9374823053</v>
      </c>
      <c r="G31" s="151">
        <f>F31/((1+'T3 Inputs'!$B$4)^(B31-B$2))</f>
        <v>209654.63113910062</v>
      </c>
    </row>
    <row r="32" spans="1:7" x14ac:dyDescent="0.2">
      <c r="A32" s="332">
        <f t="shared" si="2"/>
        <v>29</v>
      </c>
      <c r="B32" s="90">
        <f t="shared" si="0"/>
        <v>2048</v>
      </c>
      <c r="C32" s="89">
        <f>'T10 Reduced Vessel Emissions'!D32*'T31 Env Input'!C35</f>
        <v>190755.61575792989</v>
      </c>
      <c r="D32" s="89">
        <f>'T10 Reduced Vessel Emissions'!E32*'T31 Env Input'!F35</f>
        <v>663185.64433539403</v>
      </c>
      <c r="E32" s="89">
        <f>'T10 Reduced Vessel Emissions'!G32*'T31 Env Input'!E33</f>
        <v>641622.60421954619</v>
      </c>
      <c r="F32" s="89">
        <f t="shared" si="1"/>
        <v>1495563.86431287</v>
      </c>
      <c r="G32" s="151">
        <f>F32/((1+'T3 Inputs'!$B$4)^(B32-B$2))</f>
        <v>196467.91337535984</v>
      </c>
    </row>
    <row r="33" spans="1:7" x14ac:dyDescent="0.2">
      <c r="A33" s="332">
        <f t="shared" si="2"/>
        <v>30</v>
      </c>
      <c r="B33" s="90">
        <f t="shared" si="0"/>
        <v>2049</v>
      </c>
      <c r="C33" s="89">
        <f>'T10 Reduced Vessel Emissions'!D33*'T31 Env Input'!C36</f>
        <v>191382.36366630884</v>
      </c>
      <c r="D33" s="89">
        <f>'T10 Reduced Vessel Emissions'!E33*'T31 Env Input'!F36</f>
        <v>665364.61145939014</v>
      </c>
      <c r="E33" s="89">
        <f>'T10 Reduced Vessel Emissions'!G33*'T31 Env Input'!E34</f>
        <v>643730.72367681866</v>
      </c>
      <c r="F33" s="89">
        <f t="shared" si="1"/>
        <v>1500477.6988025177</v>
      </c>
      <c r="G33" s="151">
        <f>F33/((1+'T3 Inputs'!$B$4)^(B33-B$2))</f>
        <v>184218.15854807443</v>
      </c>
    </row>
    <row r="34" spans="1:7" ht="13.5" thickBot="1" x14ac:dyDescent="0.25">
      <c r="A34" s="334"/>
      <c r="B34" s="331" t="s">
        <v>0</v>
      </c>
      <c r="C34" s="123">
        <f>SUM(C3:C33)</f>
        <v>5641638.0324753188</v>
      </c>
      <c r="D34" s="123">
        <f>SUM(D3:D33)</f>
        <v>19613856.917440038</v>
      </c>
      <c r="E34" s="123">
        <f>SUM(E3:E33)</f>
        <v>18976125.40568348</v>
      </c>
      <c r="F34" s="123">
        <f>SUM(F3:F33)</f>
        <v>44231620.355598845</v>
      </c>
      <c r="G34" s="124">
        <f>SUM(G3:G33)</f>
        <v>16815359.520251587</v>
      </c>
    </row>
    <row r="35" spans="1:7" ht="13.5" thickBot="1" x14ac:dyDescent="0.25"/>
    <row r="36" spans="1:7" ht="76.5" x14ac:dyDescent="0.2">
      <c r="A36" s="329" t="s">
        <v>130</v>
      </c>
      <c r="B36" s="148" t="s">
        <v>2</v>
      </c>
      <c r="C36" s="120" t="s">
        <v>111</v>
      </c>
      <c r="D36" s="120" t="s">
        <v>112</v>
      </c>
      <c r="E36" s="120" t="s">
        <v>113</v>
      </c>
      <c r="F36" s="120" t="s">
        <v>114</v>
      </c>
      <c r="G36" s="121" t="s">
        <v>122</v>
      </c>
    </row>
    <row r="37" spans="1:7" x14ac:dyDescent="0.2">
      <c r="A37" s="332">
        <v>-1</v>
      </c>
      <c r="B37" s="88">
        <v>2018</v>
      </c>
      <c r="C37" s="94">
        <f t="shared" ref="C37:G46" si="3">ROUND(C2,-2)</f>
        <v>0</v>
      </c>
      <c r="D37" s="94">
        <f t="shared" si="3"/>
        <v>0</v>
      </c>
      <c r="E37" s="94">
        <f t="shared" si="3"/>
        <v>0</v>
      </c>
      <c r="F37" s="94">
        <f t="shared" si="3"/>
        <v>0</v>
      </c>
      <c r="G37" s="152">
        <f t="shared" si="3"/>
        <v>0</v>
      </c>
    </row>
    <row r="38" spans="1:7" x14ac:dyDescent="0.2">
      <c r="A38" s="332">
        <v>0</v>
      </c>
      <c r="B38" s="90">
        <f>B37+1</f>
        <v>2019</v>
      </c>
      <c r="C38" s="94">
        <f t="shared" si="3"/>
        <v>0</v>
      </c>
      <c r="D38" s="94">
        <f t="shared" si="3"/>
        <v>0</v>
      </c>
      <c r="E38" s="94">
        <f t="shared" si="3"/>
        <v>0</v>
      </c>
      <c r="F38" s="94">
        <f t="shared" si="3"/>
        <v>0</v>
      </c>
      <c r="G38" s="152">
        <f t="shared" si="3"/>
        <v>0</v>
      </c>
    </row>
    <row r="39" spans="1:7" x14ac:dyDescent="0.2">
      <c r="A39" s="332">
        <f>A38+1</f>
        <v>1</v>
      </c>
      <c r="B39" s="90">
        <f t="shared" ref="B39:B68" si="4">B38+1</f>
        <v>2020</v>
      </c>
      <c r="C39" s="94">
        <f t="shared" si="3"/>
        <v>165700</v>
      </c>
      <c r="D39" s="94">
        <f t="shared" si="3"/>
        <v>576000</v>
      </c>
      <c r="E39" s="94">
        <f t="shared" si="3"/>
        <v>557300</v>
      </c>
      <c r="F39" s="94">
        <f t="shared" si="3"/>
        <v>1299000</v>
      </c>
      <c r="G39" s="152">
        <f t="shared" si="3"/>
        <v>1134600</v>
      </c>
    </row>
    <row r="40" spans="1:7" x14ac:dyDescent="0.2">
      <c r="A40" s="332">
        <f t="shared" ref="A40:A68" si="5">A39+1</f>
        <v>2</v>
      </c>
      <c r="B40" s="90">
        <f t="shared" si="4"/>
        <v>2021</v>
      </c>
      <c r="C40" s="94">
        <f t="shared" si="3"/>
        <v>169000</v>
      </c>
      <c r="D40" s="94">
        <f t="shared" si="3"/>
        <v>587500</v>
      </c>
      <c r="E40" s="94">
        <f t="shared" si="3"/>
        <v>568400</v>
      </c>
      <c r="F40" s="94">
        <f t="shared" si="3"/>
        <v>1325000</v>
      </c>
      <c r="G40" s="152">
        <f t="shared" si="3"/>
        <v>1081600</v>
      </c>
    </row>
    <row r="41" spans="1:7" x14ac:dyDescent="0.2">
      <c r="A41" s="332">
        <f t="shared" si="5"/>
        <v>3</v>
      </c>
      <c r="B41" s="90">
        <f t="shared" si="4"/>
        <v>2022</v>
      </c>
      <c r="C41" s="94">
        <f t="shared" si="3"/>
        <v>172400</v>
      </c>
      <c r="D41" s="94">
        <f t="shared" si="3"/>
        <v>599300</v>
      </c>
      <c r="E41" s="94">
        <f t="shared" si="3"/>
        <v>579800</v>
      </c>
      <c r="F41" s="94">
        <f t="shared" si="3"/>
        <v>1351500</v>
      </c>
      <c r="G41" s="152">
        <f t="shared" si="3"/>
        <v>1031000</v>
      </c>
    </row>
    <row r="42" spans="1:7" x14ac:dyDescent="0.2">
      <c r="A42" s="332">
        <f t="shared" si="5"/>
        <v>4</v>
      </c>
      <c r="B42" s="90">
        <f t="shared" si="4"/>
        <v>2023</v>
      </c>
      <c r="C42" s="94">
        <f t="shared" si="3"/>
        <v>175800</v>
      </c>
      <c r="D42" s="94">
        <f t="shared" si="3"/>
        <v>611300</v>
      </c>
      <c r="E42" s="94">
        <f t="shared" si="3"/>
        <v>591400</v>
      </c>
      <c r="F42" s="94">
        <f t="shared" si="3"/>
        <v>1378500</v>
      </c>
      <c r="G42" s="152">
        <f t="shared" si="3"/>
        <v>982900</v>
      </c>
    </row>
    <row r="43" spans="1:7" x14ac:dyDescent="0.2">
      <c r="A43" s="332">
        <f t="shared" si="5"/>
        <v>5</v>
      </c>
      <c r="B43" s="90">
        <f t="shared" si="4"/>
        <v>2024</v>
      </c>
      <c r="C43" s="94">
        <f t="shared" si="3"/>
        <v>179300</v>
      </c>
      <c r="D43" s="94">
        <f t="shared" si="3"/>
        <v>623500</v>
      </c>
      <c r="E43" s="94">
        <f t="shared" si="3"/>
        <v>603200</v>
      </c>
      <c r="F43" s="94">
        <f t="shared" si="3"/>
        <v>1406100</v>
      </c>
      <c r="G43" s="152">
        <f t="shared" si="3"/>
        <v>936900</v>
      </c>
    </row>
    <row r="44" spans="1:7" x14ac:dyDescent="0.2">
      <c r="A44" s="332">
        <f t="shared" si="5"/>
        <v>6</v>
      </c>
      <c r="B44" s="90">
        <f t="shared" si="4"/>
        <v>2025</v>
      </c>
      <c r="C44" s="94">
        <f t="shared" si="3"/>
        <v>182900</v>
      </c>
      <c r="D44" s="94">
        <f t="shared" si="3"/>
        <v>636000</v>
      </c>
      <c r="E44" s="94">
        <f t="shared" si="3"/>
        <v>615300</v>
      </c>
      <c r="F44" s="94">
        <f t="shared" si="3"/>
        <v>1434200</v>
      </c>
      <c r="G44" s="152">
        <f t="shared" si="3"/>
        <v>893200</v>
      </c>
    </row>
    <row r="45" spans="1:7" x14ac:dyDescent="0.2">
      <c r="A45" s="332">
        <f t="shared" si="5"/>
        <v>7</v>
      </c>
      <c r="B45" s="90">
        <f t="shared" si="4"/>
        <v>2026</v>
      </c>
      <c r="C45" s="94">
        <f t="shared" si="3"/>
        <v>186600</v>
      </c>
      <c r="D45" s="94">
        <f t="shared" si="3"/>
        <v>648700</v>
      </c>
      <c r="E45" s="94">
        <f t="shared" si="3"/>
        <v>627600</v>
      </c>
      <c r="F45" s="94">
        <f t="shared" si="3"/>
        <v>1462900</v>
      </c>
      <c r="G45" s="152">
        <f t="shared" si="3"/>
        <v>851400</v>
      </c>
    </row>
    <row r="46" spans="1:7" x14ac:dyDescent="0.2">
      <c r="A46" s="332">
        <f t="shared" si="5"/>
        <v>8</v>
      </c>
      <c r="B46" s="90">
        <f t="shared" si="4"/>
        <v>2027</v>
      </c>
      <c r="C46" s="94">
        <f t="shared" si="3"/>
        <v>190300</v>
      </c>
      <c r="D46" s="94">
        <f t="shared" si="3"/>
        <v>661700</v>
      </c>
      <c r="E46" s="94">
        <f t="shared" si="3"/>
        <v>640200</v>
      </c>
      <c r="F46" s="94">
        <f t="shared" si="3"/>
        <v>1492200</v>
      </c>
      <c r="G46" s="152">
        <f t="shared" si="3"/>
        <v>811600</v>
      </c>
    </row>
    <row r="47" spans="1:7" x14ac:dyDescent="0.2">
      <c r="A47" s="332">
        <f t="shared" si="5"/>
        <v>9</v>
      </c>
      <c r="B47" s="90">
        <f t="shared" si="4"/>
        <v>2028</v>
      </c>
      <c r="C47" s="94">
        <f t="shared" ref="C47:G56" si="6">ROUND(C12,-2)</f>
        <v>194100</v>
      </c>
      <c r="D47" s="94">
        <f t="shared" si="6"/>
        <v>674900</v>
      </c>
      <c r="E47" s="94">
        <f t="shared" si="6"/>
        <v>653000</v>
      </c>
      <c r="F47" s="94">
        <f t="shared" si="6"/>
        <v>1522000</v>
      </c>
      <c r="G47" s="152">
        <f t="shared" si="6"/>
        <v>773700</v>
      </c>
    </row>
    <row r="48" spans="1:7" x14ac:dyDescent="0.2">
      <c r="A48" s="332">
        <f t="shared" si="5"/>
        <v>10</v>
      </c>
      <c r="B48" s="90">
        <f t="shared" si="4"/>
        <v>2029</v>
      </c>
      <c r="C48" s="94">
        <f t="shared" si="6"/>
        <v>198000</v>
      </c>
      <c r="D48" s="94">
        <f t="shared" si="6"/>
        <v>688400</v>
      </c>
      <c r="E48" s="94">
        <f t="shared" si="6"/>
        <v>666000</v>
      </c>
      <c r="F48" s="94">
        <f t="shared" si="6"/>
        <v>1552400</v>
      </c>
      <c r="G48" s="152">
        <f t="shared" si="6"/>
        <v>737600</v>
      </c>
    </row>
    <row r="49" spans="1:7" x14ac:dyDescent="0.2">
      <c r="A49" s="332">
        <f t="shared" si="5"/>
        <v>11</v>
      </c>
      <c r="B49" s="90">
        <f t="shared" si="4"/>
        <v>2030</v>
      </c>
      <c r="C49" s="94">
        <f t="shared" si="6"/>
        <v>196800</v>
      </c>
      <c r="D49" s="94">
        <f t="shared" si="6"/>
        <v>684300</v>
      </c>
      <c r="E49" s="94">
        <f t="shared" si="6"/>
        <v>662000</v>
      </c>
      <c r="F49" s="94">
        <f t="shared" si="6"/>
        <v>1543200</v>
      </c>
      <c r="G49" s="152">
        <f t="shared" si="6"/>
        <v>685200</v>
      </c>
    </row>
    <row r="50" spans="1:7" x14ac:dyDescent="0.2">
      <c r="A50" s="332">
        <f t="shared" si="5"/>
        <v>12</v>
      </c>
      <c r="B50" s="90">
        <f t="shared" si="4"/>
        <v>2031</v>
      </c>
      <c r="C50" s="94">
        <f t="shared" si="6"/>
        <v>195700</v>
      </c>
      <c r="D50" s="94">
        <f t="shared" si="6"/>
        <v>680500</v>
      </c>
      <c r="E50" s="94">
        <f t="shared" si="6"/>
        <v>658300</v>
      </c>
      <c r="F50" s="94">
        <f t="shared" si="6"/>
        <v>1534500</v>
      </c>
      <c r="G50" s="152">
        <f t="shared" si="6"/>
        <v>636800</v>
      </c>
    </row>
    <row r="51" spans="1:7" x14ac:dyDescent="0.2">
      <c r="A51" s="332">
        <f t="shared" si="5"/>
        <v>13</v>
      </c>
      <c r="B51" s="90">
        <f t="shared" si="4"/>
        <v>2032</v>
      </c>
      <c r="C51" s="94">
        <f t="shared" si="6"/>
        <v>194700</v>
      </c>
      <c r="D51" s="94">
        <f t="shared" si="6"/>
        <v>676900</v>
      </c>
      <c r="E51" s="94">
        <f t="shared" si="6"/>
        <v>654900</v>
      </c>
      <c r="F51" s="94">
        <f t="shared" si="6"/>
        <v>1526500</v>
      </c>
      <c r="G51" s="152">
        <f t="shared" si="6"/>
        <v>592000</v>
      </c>
    </row>
    <row r="52" spans="1:7" x14ac:dyDescent="0.2">
      <c r="A52" s="332">
        <f t="shared" si="5"/>
        <v>14</v>
      </c>
      <c r="B52" s="90">
        <f t="shared" si="4"/>
        <v>2033</v>
      </c>
      <c r="C52" s="94">
        <f t="shared" si="6"/>
        <v>193800</v>
      </c>
      <c r="D52" s="94">
        <f t="shared" si="6"/>
        <v>673600</v>
      </c>
      <c r="E52" s="94">
        <f t="shared" si="6"/>
        <v>651700</v>
      </c>
      <c r="F52" s="94">
        <f t="shared" si="6"/>
        <v>1519100</v>
      </c>
      <c r="G52" s="152">
        <f t="shared" si="6"/>
        <v>550600</v>
      </c>
    </row>
    <row r="53" spans="1:7" x14ac:dyDescent="0.2">
      <c r="A53" s="332">
        <f t="shared" si="5"/>
        <v>15</v>
      </c>
      <c r="B53" s="90">
        <f t="shared" si="4"/>
        <v>2034</v>
      </c>
      <c r="C53" s="94">
        <f t="shared" si="6"/>
        <v>192900</v>
      </c>
      <c r="D53" s="94">
        <f t="shared" si="6"/>
        <v>670700</v>
      </c>
      <c r="E53" s="94">
        <f t="shared" si="6"/>
        <v>648900</v>
      </c>
      <c r="F53" s="94">
        <f t="shared" si="6"/>
        <v>1512400</v>
      </c>
      <c r="G53" s="152">
        <f t="shared" si="6"/>
        <v>512300</v>
      </c>
    </row>
    <row r="54" spans="1:7" x14ac:dyDescent="0.2">
      <c r="A54" s="332">
        <f t="shared" si="5"/>
        <v>16</v>
      </c>
      <c r="B54" s="90">
        <f t="shared" si="4"/>
        <v>2035</v>
      </c>
      <c r="C54" s="94">
        <f t="shared" si="6"/>
        <v>192100</v>
      </c>
      <c r="D54" s="94">
        <f t="shared" si="6"/>
        <v>668000</v>
      </c>
      <c r="E54" s="94">
        <f t="shared" si="6"/>
        <v>646300</v>
      </c>
      <c r="F54" s="94">
        <f t="shared" si="6"/>
        <v>1506400</v>
      </c>
      <c r="G54" s="152">
        <f t="shared" si="6"/>
        <v>476900</v>
      </c>
    </row>
    <row r="55" spans="1:7" x14ac:dyDescent="0.2">
      <c r="A55" s="332">
        <f t="shared" si="5"/>
        <v>17</v>
      </c>
      <c r="B55" s="90">
        <f t="shared" si="4"/>
        <v>2036</v>
      </c>
      <c r="C55" s="94">
        <f t="shared" si="6"/>
        <v>191500</v>
      </c>
      <c r="D55" s="94">
        <f t="shared" si="6"/>
        <v>665600</v>
      </c>
      <c r="E55" s="94">
        <f t="shared" si="6"/>
        <v>644000</v>
      </c>
      <c r="F55" s="94">
        <f t="shared" si="6"/>
        <v>1501000</v>
      </c>
      <c r="G55" s="152">
        <f t="shared" si="6"/>
        <v>444100</v>
      </c>
    </row>
    <row r="56" spans="1:7" x14ac:dyDescent="0.2">
      <c r="A56" s="332">
        <f t="shared" si="5"/>
        <v>18</v>
      </c>
      <c r="B56" s="90">
        <f t="shared" si="4"/>
        <v>2037</v>
      </c>
      <c r="C56" s="94">
        <f t="shared" si="6"/>
        <v>190900</v>
      </c>
      <c r="D56" s="94">
        <f t="shared" si="6"/>
        <v>663500</v>
      </c>
      <c r="E56" s="94">
        <f t="shared" si="6"/>
        <v>642000</v>
      </c>
      <c r="F56" s="94">
        <f t="shared" si="6"/>
        <v>1496400</v>
      </c>
      <c r="G56" s="152">
        <f t="shared" si="6"/>
        <v>413800</v>
      </c>
    </row>
    <row r="57" spans="1:7" x14ac:dyDescent="0.2">
      <c r="A57" s="332">
        <f t="shared" si="5"/>
        <v>19</v>
      </c>
      <c r="B57" s="90">
        <f t="shared" si="4"/>
        <v>2038</v>
      </c>
      <c r="C57" s="94">
        <f t="shared" ref="C57:G66" si="7">ROUND(C22,-2)</f>
        <v>190400</v>
      </c>
      <c r="D57" s="94">
        <f t="shared" si="7"/>
        <v>661800</v>
      </c>
      <c r="E57" s="94">
        <f t="shared" si="7"/>
        <v>640300</v>
      </c>
      <c r="F57" s="94">
        <f t="shared" si="7"/>
        <v>1492400</v>
      </c>
      <c r="G57" s="152">
        <f t="shared" si="7"/>
        <v>385700</v>
      </c>
    </row>
    <row r="58" spans="1:7" x14ac:dyDescent="0.2">
      <c r="A58" s="332">
        <f t="shared" si="5"/>
        <v>20</v>
      </c>
      <c r="B58" s="90">
        <f t="shared" si="4"/>
        <v>2039</v>
      </c>
      <c r="C58" s="94">
        <f t="shared" si="7"/>
        <v>189900</v>
      </c>
      <c r="D58" s="94">
        <f t="shared" si="7"/>
        <v>660400</v>
      </c>
      <c r="E58" s="94">
        <f t="shared" si="7"/>
        <v>638900</v>
      </c>
      <c r="F58" s="94">
        <f t="shared" si="7"/>
        <v>1489200</v>
      </c>
      <c r="G58" s="152">
        <f t="shared" si="7"/>
        <v>359700</v>
      </c>
    </row>
    <row r="59" spans="1:7" x14ac:dyDescent="0.2">
      <c r="A59" s="332">
        <f t="shared" si="5"/>
        <v>21</v>
      </c>
      <c r="B59" s="90">
        <f t="shared" si="4"/>
        <v>2040</v>
      </c>
      <c r="C59" s="94">
        <f t="shared" si="7"/>
        <v>189600</v>
      </c>
      <c r="D59" s="94">
        <f t="shared" si="7"/>
        <v>659300</v>
      </c>
      <c r="E59" s="94">
        <f t="shared" si="7"/>
        <v>637800</v>
      </c>
      <c r="F59" s="94">
        <f t="shared" si="7"/>
        <v>1486800</v>
      </c>
      <c r="G59" s="152">
        <f t="shared" si="7"/>
        <v>335600</v>
      </c>
    </row>
    <row r="60" spans="1:7" x14ac:dyDescent="0.2">
      <c r="A60" s="332">
        <f t="shared" si="5"/>
        <v>22</v>
      </c>
      <c r="B60" s="90">
        <f t="shared" si="4"/>
        <v>2041</v>
      </c>
      <c r="C60" s="94">
        <f t="shared" si="7"/>
        <v>189400</v>
      </c>
      <c r="D60" s="94">
        <f t="shared" si="7"/>
        <v>658500</v>
      </c>
      <c r="E60" s="94">
        <f t="shared" si="7"/>
        <v>637100</v>
      </c>
      <c r="F60" s="94">
        <f t="shared" si="7"/>
        <v>1485100</v>
      </c>
      <c r="G60" s="152">
        <f t="shared" si="7"/>
        <v>313300</v>
      </c>
    </row>
    <row r="61" spans="1:7" x14ac:dyDescent="0.2">
      <c r="A61" s="332">
        <f t="shared" si="5"/>
        <v>23</v>
      </c>
      <c r="B61" s="90">
        <f t="shared" si="4"/>
        <v>2042</v>
      </c>
      <c r="C61" s="94">
        <f t="shared" si="7"/>
        <v>189300</v>
      </c>
      <c r="D61" s="94">
        <f t="shared" si="7"/>
        <v>658100</v>
      </c>
      <c r="E61" s="94">
        <f t="shared" si="7"/>
        <v>636700</v>
      </c>
      <c r="F61" s="94">
        <f t="shared" si="7"/>
        <v>1484100</v>
      </c>
      <c r="G61" s="152">
        <f t="shared" si="7"/>
        <v>292600</v>
      </c>
    </row>
    <row r="62" spans="1:7" x14ac:dyDescent="0.2">
      <c r="A62" s="332">
        <f t="shared" si="5"/>
        <v>24</v>
      </c>
      <c r="B62" s="90">
        <f t="shared" si="4"/>
        <v>2043</v>
      </c>
      <c r="C62" s="94">
        <f t="shared" si="7"/>
        <v>189300</v>
      </c>
      <c r="D62" s="94">
        <f t="shared" si="7"/>
        <v>658000</v>
      </c>
      <c r="E62" s="94">
        <f t="shared" si="7"/>
        <v>636600</v>
      </c>
      <c r="F62" s="94">
        <f t="shared" si="7"/>
        <v>1484000</v>
      </c>
      <c r="G62" s="152">
        <f t="shared" si="7"/>
        <v>273400</v>
      </c>
    </row>
    <row r="63" spans="1:7" x14ac:dyDescent="0.2">
      <c r="A63" s="332">
        <f t="shared" si="5"/>
        <v>25</v>
      </c>
      <c r="B63" s="90">
        <f t="shared" si="4"/>
        <v>2044</v>
      </c>
      <c r="C63" s="94">
        <f t="shared" si="7"/>
        <v>189400</v>
      </c>
      <c r="D63" s="94">
        <f t="shared" si="7"/>
        <v>658300</v>
      </c>
      <c r="E63" s="94">
        <f t="shared" si="7"/>
        <v>636900</v>
      </c>
      <c r="F63" s="94">
        <f t="shared" si="7"/>
        <v>1484600</v>
      </c>
      <c r="G63" s="152">
        <f t="shared" si="7"/>
        <v>255600</v>
      </c>
    </row>
    <row r="64" spans="1:7" x14ac:dyDescent="0.2">
      <c r="A64" s="332">
        <f t="shared" si="5"/>
        <v>26</v>
      </c>
      <c r="B64" s="90">
        <f t="shared" si="4"/>
        <v>2045</v>
      </c>
      <c r="C64" s="94">
        <f t="shared" si="7"/>
        <v>189500</v>
      </c>
      <c r="D64" s="94">
        <f t="shared" si="7"/>
        <v>659000</v>
      </c>
      <c r="E64" s="94">
        <f t="shared" si="7"/>
        <v>637600</v>
      </c>
      <c r="F64" s="94">
        <f t="shared" si="7"/>
        <v>1486100</v>
      </c>
      <c r="G64" s="152">
        <f t="shared" si="7"/>
        <v>239200</v>
      </c>
    </row>
    <row r="65" spans="1:7" x14ac:dyDescent="0.2">
      <c r="A65" s="332">
        <f t="shared" si="5"/>
        <v>27</v>
      </c>
      <c r="B65" s="90">
        <f t="shared" si="4"/>
        <v>2046</v>
      </c>
      <c r="C65" s="94">
        <f t="shared" si="7"/>
        <v>189800</v>
      </c>
      <c r="D65" s="94">
        <f t="shared" si="7"/>
        <v>660000</v>
      </c>
      <c r="E65" s="94">
        <f t="shared" si="7"/>
        <v>638500</v>
      </c>
      <c r="F65" s="94">
        <f t="shared" si="7"/>
        <v>1488400</v>
      </c>
      <c r="G65" s="152">
        <f t="shared" si="7"/>
        <v>223900</v>
      </c>
    </row>
    <row r="66" spans="1:7" x14ac:dyDescent="0.2">
      <c r="A66" s="332">
        <f t="shared" si="5"/>
        <v>28</v>
      </c>
      <c r="B66" s="90">
        <f t="shared" si="4"/>
        <v>2047</v>
      </c>
      <c r="C66" s="94">
        <f t="shared" si="7"/>
        <v>190200</v>
      </c>
      <c r="D66" s="94">
        <f t="shared" si="7"/>
        <v>661400</v>
      </c>
      <c r="E66" s="94">
        <f t="shared" si="7"/>
        <v>639900</v>
      </c>
      <c r="F66" s="94">
        <f t="shared" si="7"/>
        <v>1491500</v>
      </c>
      <c r="G66" s="152">
        <f t="shared" si="7"/>
        <v>209700</v>
      </c>
    </row>
    <row r="67" spans="1:7" x14ac:dyDescent="0.2">
      <c r="A67" s="332">
        <f t="shared" si="5"/>
        <v>29</v>
      </c>
      <c r="B67" s="90">
        <f t="shared" si="4"/>
        <v>2048</v>
      </c>
      <c r="C67" s="94">
        <f t="shared" ref="C67:G69" si="8">ROUND(C32,-2)</f>
        <v>190800</v>
      </c>
      <c r="D67" s="94">
        <f t="shared" si="8"/>
        <v>663200</v>
      </c>
      <c r="E67" s="94">
        <f t="shared" si="8"/>
        <v>641600</v>
      </c>
      <c r="F67" s="94">
        <f t="shared" si="8"/>
        <v>1495600</v>
      </c>
      <c r="G67" s="152">
        <f t="shared" si="8"/>
        <v>196500</v>
      </c>
    </row>
    <row r="68" spans="1:7" x14ac:dyDescent="0.2">
      <c r="A68" s="332">
        <f t="shared" si="5"/>
        <v>30</v>
      </c>
      <c r="B68" s="90">
        <f t="shared" si="4"/>
        <v>2049</v>
      </c>
      <c r="C68" s="94">
        <f t="shared" si="8"/>
        <v>191400</v>
      </c>
      <c r="D68" s="94">
        <f t="shared" si="8"/>
        <v>665400</v>
      </c>
      <c r="E68" s="94">
        <f t="shared" si="8"/>
        <v>643700</v>
      </c>
      <c r="F68" s="94">
        <f t="shared" si="8"/>
        <v>1500500</v>
      </c>
      <c r="G68" s="152">
        <f t="shared" si="8"/>
        <v>184200</v>
      </c>
    </row>
    <row r="69" spans="1:7" ht="13.5" thickBot="1" x14ac:dyDescent="0.25">
      <c r="A69" s="334"/>
      <c r="B69" s="331" t="s">
        <v>0</v>
      </c>
      <c r="C69" s="154">
        <f t="shared" si="8"/>
        <v>5641600</v>
      </c>
      <c r="D69" s="154">
        <f t="shared" si="8"/>
        <v>19613900</v>
      </c>
      <c r="E69" s="154">
        <f t="shared" si="8"/>
        <v>18976100</v>
      </c>
      <c r="F69" s="154">
        <f t="shared" si="8"/>
        <v>44231600</v>
      </c>
      <c r="G69" s="155">
        <f t="shared" si="8"/>
        <v>16815400</v>
      </c>
    </row>
  </sheetData>
  <pageMargins left="0.7" right="0.7" top="0.75" bottom="0.75" header="0.3" footer="0.3"/>
  <pageSetup orientation="portrait" verticalDpi="0"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zoomScaleNormal="100" zoomScaleSheetLayoutView="80" workbookViewId="0">
      <selection activeCell="A2" sqref="A2:D2"/>
    </sheetView>
  </sheetViews>
  <sheetFormatPr defaultRowHeight="12.75" x14ac:dyDescent="0.2"/>
  <cols>
    <col min="1" max="1" width="7.7109375" style="328" customWidth="1"/>
    <col min="2" max="2" width="9.140625" style="328"/>
    <col min="3" max="3" width="13.7109375" style="328" customWidth="1"/>
    <col min="4" max="5" width="14.7109375" style="328" customWidth="1"/>
    <col min="6" max="10" width="8.7109375" style="328" customWidth="1"/>
    <col min="11" max="16384" width="9.140625" style="328"/>
  </cols>
  <sheetData>
    <row r="1" spans="1:28" ht="13.5" thickBot="1" x14ac:dyDescent="0.25"/>
    <row r="2" spans="1:28" ht="15" customHeight="1" x14ac:dyDescent="0.2">
      <c r="A2" s="608" t="s">
        <v>199</v>
      </c>
      <c r="B2" s="609"/>
      <c r="C2" s="609"/>
      <c r="D2" s="609"/>
      <c r="E2" s="608" t="s">
        <v>200</v>
      </c>
      <c r="F2" s="609"/>
      <c r="G2" s="609"/>
      <c r="H2" s="609"/>
      <c r="I2" s="609"/>
      <c r="J2" s="606"/>
      <c r="K2" s="608" t="s">
        <v>201</v>
      </c>
      <c r="L2" s="609"/>
      <c r="M2" s="609"/>
      <c r="N2" s="609"/>
      <c r="O2" s="609"/>
      <c r="P2" s="606"/>
      <c r="Q2" s="606" t="s">
        <v>202</v>
      </c>
    </row>
    <row r="3" spans="1:28" ht="42.75" x14ac:dyDescent="0.2">
      <c r="A3" s="335" t="s">
        <v>2</v>
      </c>
      <c r="B3" s="336" t="s">
        <v>189</v>
      </c>
      <c r="C3" s="336" t="s">
        <v>190</v>
      </c>
      <c r="D3" s="337" t="s">
        <v>191</v>
      </c>
      <c r="E3" s="335" t="s">
        <v>192</v>
      </c>
      <c r="F3" s="336" t="s">
        <v>193</v>
      </c>
      <c r="G3" s="336" t="s">
        <v>194</v>
      </c>
      <c r="H3" s="336" t="s">
        <v>195</v>
      </c>
      <c r="I3" s="336" t="s">
        <v>196</v>
      </c>
      <c r="J3" s="338" t="s">
        <v>197</v>
      </c>
      <c r="K3" s="335" t="s">
        <v>192</v>
      </c>
      <c r="L3" s="336" t="s">
        <v>193</v>
      </c>
      <c r="M3" s="336" t="s">
        <v>194</v>
      </c>
      <c r="N3" s="336" t="s">
        <v>195</v>
      </c>
      <c r="O3" s="336" t="s">
        <v>196</v>
      </c>
      <c r="P3" s="338" t="s">
        <v>197</v>
      </c>
      <c r="Q3" s="607"/>
    </row>
    <row r="4" spans="1:28" x14ac:dyDescent="0.2">
      <c r="A4" s="339">
        <v>2015</v>
      </c>
      <c r="B4" s="12" t="s">
        <v>143</v>
      </c>
      <c r="C4" s="357">
        <f>'T3 Inputs'!B48/'T3 Inputs'!B49</f>
        <v>3.1088749446119982E-7</v>
      </c>
      <c r="D4" s="358">
        <f>'T3 Inputs'!B47/'T3 Inputs'!B49</f>
        <v>1.4472348880090336E-8</v>
      </c>
      <c r="E4" s="340">
        <f>C4*0.62728</f>
        <v>1.9501350752562141E-7</v>
      </c>
      <c r="F4" s="341">
        <f>C4*0.104</f>
        <v>3.233229942396478E-8</v>
      </c>
      <c r="G4" s="341">
        <f>C4*0.03858</f>
        <v>1.1994039536313091E-8</v>
      </c>
      <c r="H4" s="341">
        <f>C4*0.00442</f>
        <v>1.3741227255185033E-9</v>
      </c>
      <c r="I4" s="341">
        <f>C4*0.01034</f>
        <v>3.2145766927288062E-9</v>
      </c>
      <c r="J4" s="342">
        <v>0</v>
      </c>
      <c r="K4" s="340">
        <v>0</v>
      </c>
      <c r="L4" s="341">
        <v>0</v>
      </c>
      <c r="M4" s="341">
        <v>0</v>
      </c>
      <c r="N4" s="341">
        <v>0</v>
      </c>
      <c r="O4" s="341">
        <v>0</v>
      </c>
      <c r="P4" s="342">
        <f>D4*1</f>
        <v>1.4472348880090336E-8</v>
      </c>
      <c r="Q4" s="607"/>
    </row>
    <row r="5" spans="1:28" ht="15" thickBot="1" x14ac:dyDescent="0.25">
      <c r="A5" s="343" t="s">
        <v>198</v>
      </c>
      <c r="B5" s="344"/>
      <c r="C5" s="344"/>
      <c r="D5" s="345"/>
      <c r="E5" s="346">
        <f>E4*'T3 Inputs'!$B$50</f>
        <v>5.6163890167378969E-3</v>
      </c>
      <c r="F5" s="347">
        <f>F4*'T3 Inputs'!$B$51</f>
        <v>1.4588333500092908E-2</v>
      </c>
      <c r="G5" s="347">
        <f>G4*'T3 Inputs'!$B$52</f>
        <v>1.2089991852603595E-2</v>
      </c>
      <c r="H5" s="347">
        <f>H4*'T3 Inputs'!$B$53</f>
        <v>3.5089597918840499E-3</v>
      </c>
      <c r="I5" s="347">
        <f>I4*'T3 Inputs'!$B$54</f>
        <v>1.8299942196366548E-2</v>
      </c>
      <c r="J5" s="348">
        <f>J4*'T3 Inputs'!$B$55</f>
        <v>0</v>
      </c>
      <c r="K5" s="346">
        <f>K4*'T3 Inputs'!$B$50</f>
        <v>0</v>
      </c>
      <c r="L5" s="347">
        <f>L4*'T3 Inputs'!$B$51</f>
        <v>0</v>
      </c>
      <c r="M5" s="347">
        <f>M4*'T3 Inputs'!$B$52</f>
        <v>0</v>
      </c>
      <c r="N5" s="347">
        <f>N4*'T3 Inputs'!$B$53</f>
        <v>0</v>
      </c>
      <c r="O5" s="347">
        <f>O4*'T3 Inputs'!$B$54</f>
        <v>0</v>
      </c>
      <c r="P5" s="348">
        <f>P4*'T3 Inputs'!$B$55</f>
        <v>0.13893454924886722</v>
      </c>
      <c r="Q5" s="349">
        <f>SUM(E5:P5)</f>
        <v>0.19303816560655224</v>
      </c>
    </row>
    <row r="6" spans="1:28" ht="13.5" thickBot="1" x14ac:dyDescent="0.25"/>
    <row r="7" spans="1:28" s="330" customFormat="1" ht="51" x14ac:dyDescent="0.2">
      <c r="A7" s="329" t="s">
        <v>130</v>
      </c>
      <c r="B7" s="148" t="s">
        <v>2</v>
      </c>
      <c r="C7" s="120" t="s">
        <v>163</v>
      </c>
      <c r="D7" s="120" t="s">
        <v>203</v>
      </c>
      <c r="E7" s="121" t="s">
        <v>204</v>
      </c>
      <c r="F7" s="116"/>
      <c r="G7" s="116"/>
      <c r="H7" s="116"/>
    </row>
    <row r="8" spans="1:28" x14ac:dyDescent="0.2">
      <c r="A8" s="332">
        <v>-1</v>
      </c>
      <c r="B8" s="88">
        <v>2018</v>
      </c>
      <c r="C8" s="112">
        <f>'T5 Avoided Truck Miles'!H3</f>
        <v>0</v>
      </c>
      <c r="D8" s="114">
        <v>0</v>
      </c>
      <c r="E8" s="125">
        <f>D8/((1+'T3 Inputs'!$B$4)^(B8-2016))</f>
        <v>0</v>
      </c>
      <c r="F8" s="117"/>
      <c r="G8" s="117"/>
      <c r="H8" s="350"/>
    </row>
    <row r="9" spans="1:28" ht="12.75" customHeight="1" x14ac:dyDescent="0.2">
      <c r="A9" s="332">
        <v>0</v>
      </c>
      <c r="B9" s="90">
        <f>B8+1</f>
        <v>2019</v>
      </c>
      <c r="C9" s="112">
        <f>'T5 Avoided Truck Miles'!H4</f>
        <v>0</v>
      </c>
      <c r="D9" s="114">
        <v>0</v>
      </c>
      <c r="E9" s="125">
        <f>D9/((1+'T3 Inputs'!$B$4)^(B9-2016))</f>
        <v>0</v>
      </c>
      <c r="F9" s="117"/>
      <c r="G9" s="117"/>
      <c r="H9" s="350"/>
    </row>
    <row r="10" spans="1:28" ht="12.75" customHeight="1" x14ac:dyDescent="0.2">
      <c r="A10" s="332">
        <f>A9+1</f>
        <v>1</v>
      </c>
      <c r="B10" s="90">
        <f t="shared" ref="B10:B39" si="0">B9+1</f>
        <v>2020</v>
      </c>
      <c r="C10" s="112">
        <f>'T5 Avoided Truck Miles'!H5</f>
        <v>203661.28172118665</v>
      </c>
      <c r="D10" s="114">
        <f t="shared" ref="D10:D39" si="1">C10*$Q$5</f>
        <v>39314.400228537117</v>
      </c>
      <c r="E10" s="125">
        <f>D10/((1+'T3 Inputs'!$B$4)^(B10-2016))</f>
        <v>29992.767698871099</v>
      </c>
      <c r="F10" s="117"/>
      <c r="G10" s="117"/>
      <c r="H10" s="350"/>
    </row>
    <row r="11" spans="1:28" ht="12.75" customHeight="1" x14ac:dyDescent="0.2">
      <c r="A11" s="332">
        <f t="shared" ref="A11:A39" si="2">A10+1</f>
        <v>2</v>
      </c>
      <c r="B11" s="90">
        <f t="shared" si="0"/>
        <v>2021</v>
      </c>
      <c r="C11" s="113">
        <f>'T5 Avoided Truck Miles'!H6</f>
        <v>221445.43826976634</v>
      </c>
      <c r="D11" s="115">
        <f t="shared" si="1"/>
        <v>42747.421185534695</v>
      </c>
      <c r="E11" s="126">
        <f>D11/((1+'T3 Inputs'!$B$4)^(B11-2016))</f>
        <v>30478.320513853607</v>
      </c>
      <c r="F11" s="118"/>
      <c r="G11" s="118"/>
      <c r="H11" s="350"/>
      <c r="L11" s="3"/>
      <c r="M11" s="3"/>
      <c r="N11" s="3"/>
      <c r="O11" s="3"/>
      <c r="P11" s="351"/>
      <c r="Q11" s="351"/>
      <c r="R11" s="351"/>
      <c r="S11" s="351"/>
      <c r="T11" s="351"/>
      <c r="U11" s="351"/>
      <c r="V11" s="351"/>
      <c r="W11" s="351"/>
      <c r="X11" s="351"/>
      <c r="Y11" s="351"/>
      <c r="Z11" s="351"/>
      <c r="AA11" s="351"/>
      <c r="AB11" s="352"/>
    </row>
    <row r="12" spans="1:28" ht="12.75" customHeight="1" x14ac:dyDescent="0.2">
      <c r="A12" s="332">
        <f t="shared" si="2"/>
        <v>3</v>
      </c>
      <c r="B12" s="90">
        <f t="shared" si="0"/>
        <v>2022</v>
      </c>
      <c r="C12" s="113">
        <f>'T5 Avoided Truck Miles'!H7</f>
        <v>221445.43826976634</v>
      </c>
      <c r="D12" s="115">
        <f t="shared" si="1"/>
        <v>42747.421185534695</v>
      </c>
      <c r="E12" s="126">
        <f>D12/((1+'T3 Inputs'!$B$4)^(B12-2016))</f>
        <v>28484.411695190291</v>
      </c>
      <c r="F12" s="118"/>
      <c r="G12" s="118"/>
      <c r="H12" s="350"/>
      <c r="L12" s="3"/>
      <c r="M12" s="3"/>
      <c r="N12" s="3"/>
      <c r="O12" s="3"/>
      <c r="P12" s="351"/>
      <c r="Q12" s="351"/>
      <c r="R12" s="351"/>
      <c r="S12" s="351"/>
      <c r="T12" s="351"/>
      <c r="U12" s="351"/>
      <c r="V12" s="351"/>
      <c r="W12" s="351"/>
      <c r="X12" s="351"/>
      <c r="Y12" s="351"/>
      <c r="Z12" s="351"/>
      <c r="AA12" s="351"/>
      <c r="AB12" s="352"/>
    </row>
    <row r="13" spans="1:28" ht="12.75" customHeight="1" x14ac:dyDescent="0.2">
      <c r="A13" s="332">
        <f t="shared" si="2"/>
        <v>4</v>
      </c>
      <c r="B13" s="90">
        <f t="shared" si="0"/>
        <v>2023</v>
      </c>
      <c r="C13" s="113">
        <f>'T5 Avoided Truck Miles'!H8</f>
        <v>221445.43826976634</v>
      </c>
      <c r="D13" s="115">
        <f t="shared" si="1"/>
        <v>42747.421185534695</v>
      </c>
      <c r="E13" s="126">
        <f>D13/((1+'T3 Inputs'!$B$4)^(B13-2016))</f>
        <v>26620.945509523634</v>
      </c>
      <c r="F13" s="118"/>
      <c r="G13" s="118"/>
      <c r="H13" s="350"/>
      <c r="L13" s="3"/>
      <c r="M13" s="3"/>
      <c r="N13" s="3"/>
      <c r="O13" s="3"/>
      <c r="P13" s="351"/>
      <c r="Q13" s="351"/>
      <c r="R13" s="351"/>
      <c r="S13" s="351"/>
      <c r="T13" s="351"/>
      <c r="U13" s="351"/>
      <c r="V13" s="351"/>
      <c r="W13" s="351"/>
      <c r="X13" s="351"/>
      <c r="Y13" s="351"/>
      <c r="Z13" s="351"/>
      <c r="AA13" s="351"/>
      <c r="AB13" s="352"/>
    </row>
    <row r="14" spans="1:28" ht="12.75" customHeight="1" x14ac:dyDescent="0.2">
      <c r="A14" s="332">
        <f t="shared" si="2"/>
        <v>5</v>
      </c>
      <c r="B14" s="90">
        <f t="shared" si="0"/>
        <v>2024</v>
      </c>
      <c r="C14" s="113">
        <f>'T5 Avoided Truck Miles'!H9</f>
        <v>221445.43826976634</v>
      </c>
      <c r="D14" s="115">
        <f t="shared" si="1"/>
        <v>42747.421185534695</v>
      </c>
      <c r="E14" s="126">
        <f>D14/((1+'T3 Inputs'!$B$4)^(B14-2016))</f>
        <v>24879.388326657601</v>
      </c>
      <c r="F14" s="118"/>
      <c r="G14" s="118"/>
      <c r="H14" s="350"/>
      <c r="L14" s="3"/>
      <c r="M14" s="3"/>
      <c r="N14" s="3"/>
      <c r="O14" s="3"/>
      <c r="P14" s="351"/>
      <c r="Q14" s="351"/>
      <c r="R14" s="351"/>
      <c r="S14" s="351"/>
      <c r="T14" s="351"/>
      <c r="U14" s="351"/>
      <c r="V14" s="351"/>
      <c r="W14" s="351"/>
      <c r="X14" s="351"/>
      <c r="Y14" s="351"/>
      <c r="Z14" s="351"/>
      <c r="AA14" s="351"/>
      <c r="AB14" s="352"/>
    </row>
    <row r="15" spans="1:28" ht="12.75" customHeight="1" x14ac:dyDescent="0.2">
      <c r="A15" s="332">
        <f t="shared" si="2"/>
        <v>6</v>
      </c>
      <c r="B15" s="90">
        <f t="shared" si="0"/>
        <v>2025</v>
      </c>
      <c r="C15" s="113">
        <f>'T5 Avoided Truck Miles'!H10</f>
        <v>221445.43826976634</v>
      </c>
      <c r="D15" s="115">
        <f t="shared" si="1"/>
        <v>42747.421185534695</v>
      </c>
      <c r="E15" s="126">
        <f>D15/((1+'T3 Inputs'!$B$4)^(B15-2016))</f>
        <v>23251.764791268783</v>
      </c>
      <c r="F15" s="118"/>
      <c r="G15" s="118"/>
      <c r="H15" s="350"/>
      <c r="L15" s="3"/>
      <c r="M15" s="3"/>
      <c r="N15" s="3"/>
      <c r="O15" s="3"/>
      <c r="P15" s="351"/>
      <c r="Q15" s="351"/>
      <c r="R15" s="351"/>
      <c r="S15" s="351"/>
      <c r="T15" s="351"/>
      <c r="U15" s="351"/>
      <c r="V15" s="351"/>
      <c r="W15" s="351"/>
      <c r="X15" s="351"/>
      <c r="Y15" s="351"/>
      <c r="Z15" s="351"/>
      <c r="AA15" s="351"/>
      <c r="AB15" s="352"/>
    </row>
    <row r="16" spans="1:28" ht="12.75" customHeight="1" x14ac:dyDescent="0.2">
      <c r="A16" s="332">
        <f t="shared" si="2"/>
        <v>7</v>
      </c>
      <c r="B16" s="90">
        <f t="shared" si="0"/>
        <v>2026</v>
      </c>
      <c r="C16" s="113">
        <f>'T5 Avoided Truck Miles'!H11</f>
        <v>221445.43826976634</v>
      </c>
      <c r="D16" s="115">
        <f t="shared" si="1"/>
        <v>42747.421185534695</v>
      </c>
      <c r="E16" s="126">
        <f>D16/((1+'T3 Inputs'!$B$4)^(B16-2016))</f>
        <v>21730.621300251201</v>
      </c>
      <c r="F16" s="118"/>
      <c r="G16" s="118"/>
      <c r="H16" s="350"/>
      <c r="L16" s="3"/>
      <c r="M16" s="3"/>
      <c r="N16" s="3"/>
      <c r="O16" s="3"/>
      <c r="P16" s="351"/>
      <c r="Q16" s="351"/>
      <c r="R16" s="351"/>
      <c r="S16" s="351"/>
      <c r="T16" s="351"/>
      <c r="U16" s="351"/>
      <c r="V16" s="351"/>
      <c r="W16" s="351"/>
      <c r="X16" s="351"/>
      <c r="Y16" s="351"/>
      <c r="Z16" s="351"/>
      <c r="AA16" s="351"/>
      <c r="AB16" s="352"/>
    </row>
    <row r="17" spans="1:28" ht="12.75" customHeight="1" x14ac:dyDescent="0.2">
      <c r="A17" s="332">
        <f t="shared" si="2"/>
        <v>8</v>
      </c>
      <c r="B17" s="90">
        <f t="shared" si="0"/>
        <v>2027</v>
      </c>
      <c r="C17" s="113">
        <f>'T5 Avoided Truck Miles'!H12</f>
        <v>221445.43826976634</v>
      </c>
      <c r="D17" s="115">
        <f t="shared" si="1"/>
        <v>42747.421185534695</v>
      </c>
      <c r="E17" s="126">
        <f>D17/((1+'T3 Inputs'!$B$4)^(B17-2016))</f>
        <v>20308.991869393642</v>
      </c>
      <c r="F17" s="118"/>
      <c r="G17" s="118"/>
      <c r="H17" s="350"/>
      <c r="L17" s="3"/>
      <c r="M17" s="3"/>
      <c r="N17" s="3"/>
      <c r="O17" s="3"/>
      <c r="P17" s="351"/>
      <c r="Q17" s="351"/>
      <c r="R17" s="351"/>
      <c r="S17" s="351"/>
      <c r="T17" s="351"/>
      <c r="U17" s="351"/>
      <c r="V17" s="351"/>
      <c r="W17" s="351"/>
      <c r="X17" s="351"/>
      <c r="Y17" s="351"/>
      <c r="Z17" s="351"/>
      <c r="AA17" s="351"/>
      <c r="AB17" s="352"/>
    </row>
    <row r="18" spans="1:28" ht="12.75" customHeight="1" x14ac:dyDescent="0.2">
      <c r="A18" s="332">
        <f t="shared" si="2"/>
        <v>9</v>
      </c>
      <c r="B18" s="90">
        <f t="shared" si="0"/>
        <v>2028</v>
      </c>
      <c r="C18" s="113">
        <f>'T5 Avoided Truck Miles'!H13</f>
        <v>221445.43826976634</v>
      </c>
      <c r="D18" s="115">
        <f t="shared" si="1"/>
        <v>42747.421185534695</v>
      </c>
      <c r="E18" s="126">
        <f>D18/((1+'T3 Inputs'!$B$4)^(B18-2016))</f>
        <v>18980.366233078174</v>
      </c>
      <c r="F18" s="118"/>
      <c r="G18" s="118"/>
      <c r="H18" s="350"/>
      <c r="L18" s="3"/>
      <c r="M18" s="3"/>
      <c r="N18" s="3"/>
      <c r="O18" s="3"/>
      <c r="P18" s="351"/>
      <c r="Q18" s="351"/>
      <c r="R18" s="351"/>
      <c r="S18" s="351"/>
      <c r="T18" s="351"/>
      <c r="U18" s="351"/>
      <c r="V18" s="351"/>
      <c r="W18" s="351"/>
      <c r="X18" s="351"/>
      <c r="Y18" s="351"/>
      <c r="Z18" s="351"/>
      <c r="AA18" s="351"/>
      <c r="AB18" s="352"/>
    </row>
    <row r="19" spans="1:28" ht="12.75" customHeight="1" x14ac:dyDescent="0.2">
      <c r="A19" s="332">
        <f t="shared" si="2"/>
        <v>10</v>
      </c>
      <c r="B19" s="90">
        <f t="shared" si="0"/>
        <v>2029</v>
      </c>
      <c r="C19" s="113">
        <f>'T5 Avoided Truck Miles'!H14</f>
        <v>221445.43826976634</v>
      </c>
      <c r="D19" s="115">
        <f t="shared" si="1"/>
        <v>42747.421185534695</v>
      </c>
      <c r="E19" s="126">
        <f>D19/((1+'T3 Inputs'!$B$4)^(B19-2016))</f>
        <v>17738.66003091418</v>
      </c>
      <c r="F19" s="118"/>
      <c r="G19" s="118"/>
      <c r="H19" s="350"/>
      <c r="L19" s="3"/>
      <c r="M19" s="3"/>
      <c r="N19" s="3"/>
      <c r="O19" s="3"/>
      <c r="P19" s="351"/>
      <c r="Q19" s="351"/>
      <c r="R19" s="351"/>
      <c r="S19" s="351"/>
      <c r="T19" s="351"/>
      <c r="U19" s="351"/>
      <c r="V19" s="351"/>
      <c r="W19" s="351"/>
      <c r="X19" s="351"/>
      <c r="Y19" s="351"/>
      <c r="Z19" s="351"/>
      <c r="AA19" s="351"/>
      <c r="AB19" s="352"/>
    </row>
    <row r="20" spans="1:28" ht="12.75" customHeight="1" x14ac:dyDescent="0.2">
      <c r="A20" s="332">
        <f t="shared" si="2"/>
        <v>11</v>
      </c>
      <c r="B20" s="90">
        <f t="shared" si="0"/>
        <v>2030</v>
      </c>
      <c r="C20" s="113">
        <f>'T5 Avoided Truck Miles'!H15</f>
        <v>221445.43826976634</v>
      </c>
      <c r="D20" s="115">
        <f t="shared" si="1"/>
        <v>42747.421185534695</v>
      </c>
      <c r="E20" s="126">
        <f>D20/((1+'T3 Inputs'!$B$4)^(B20-2016))</f>
        <v>16578.186944779609</v>
      </c>
      <c r="F20" s="118"/>
      <c r="G20" s="118"/>
      <c r="H20" s="350"/>
      <c r="L20" s="3"/>
      <c r="M20" s="3"/>
      <c r="N20" s="3"/>
      <c r="O20" s="3"/>
      <c r="P20" s="3"/>
      <c r="Q20" s="3"/>
      <c r="R20" s="3"/>
      <c r="S20" s="3"/>
      <c r="T20" s="3"/>
      <c r="U20" s="3"/>
      <c r="V20" s="3"/>
      <c r="W20" s="3"/>
      <c r="X20" s="3"/>
      <c r="Y20" s="3"/>
      <c r="Z20" s="3"/>
      <c r="AA20" s="3"/>
      <c r="AB20" s="352"/>
    </row>
    <row r="21" spans="1:28" ht="14.25" x14ac:dyDescent="0.2">
      <c r="A21" s="332">
        <f t="shared" si="2"/>
        <v>12</v>
      </c>
      <c r="B21" s="90">
        <f t="shared" si="0"/>
        <v>2031</v>
      </c>
      <c r="C21" s="113">
        <f>'T5 Avoided Truck Miles'!H16</f>
        <v>221445.43826976634</v>
      </c>
      <c r="D21" s="115">
        <f t="shared" si="1"/>
        <v>42747.421185534695</v>
      </c>
      <c r="E21" s="126">
        <f>D21/((1+'T3 Inputs'!$B$4)^(B21-2016))</f>
        <v>15493.63265867253</v>
      </c>
      <c r="F21" s="118"/>
      <c r="G21" s="118"/>
      <c r="H21" s="350"/>
      <c r="L21" s="353"/>
      <c r="M21" s="353"/>
      <c r="N21" s="353"/>
      <c r="O21" s="353"/>
      <c r="P21" s="353"/>
      <c r="Q21" s="353"/>
      <c r="R21" s="353"/>
      <c r="S21" s="353"/>
      <c r="T21" s="353"/>
      <c r="U21" s="353"/>
      <c r="V21" s="353"/>
      <c r="W21" s="353"/>
      <c r="X21" s="353"/>
      <c r="Y21" s="353"/>
      <c r="Z21" s="353"/>
      <c r="AA21" s="353"/>
      <c r="AB21" s="352"/>
    </row>
    <row r="22" spans="1:28" ht="14.25" x14ac:dyDescent="0.2">
      <c r="A22" s="332">
        <f t="shared" si="2"/>
        <v>13</v>
      </c>
      <c r="B22" s="90">
        <f t="shared" si="0"/>
        <v>2032</v>
      </c>
      <c r="C22" s="113">
        <f>'T5 Avoided Truck Miles'!H17</f>
        <v>221445.43826976634</v>
      </c>
      <c r="D22" s="115">
        <f t="shared" si="1"/>
        <v>42747.421185534695</v>
      </c>
      <c r="E22" s="126">
        <f>D22/((1+'T3 Inputs'!$B$4)^(B22-2016))</f>
        <v>14480.030522123861</v>
      </c>
      <c r="F22" s="118"/>
      <c r="G22" s="118"/>
      <c r="H22" s="350"/>
      <c r="L22" s="353"/>
      <c r="M22" s="353"/>
      <c r="N22" s="353"/>
      <c r="O22" s="353"/>
      <c r="P22" s="354"/>
      <c r="Q22" s="354"/>
      <c r="R22" s="354"/>
      <c r="S22" s="354"/>
      <c r="T22" s="354"/>
      <c r="U22" s="354"/>
      <c r="V22" s="354"/>
      <c r="W22" s="354"/>
      <c r="X22" s="354"/>
      <c r="Y22" s="354"/>
      <c r="Z22" s="354"/>
      <c r="AA22" s="354"/>
      <c r="AB22" s="352"/>
    </row>
    <row r="23" spans="1:28" x14ac:dyDescent="0.2">
      <c r="A23" s="332">
        <f t="shared" si="2"/>
        <v>14</v>
      </c>
      <c r="B23" s="90">
        <f t="shared" si="0"/>
        <v>2033</v>
      </c>
      <c r="C23" s="113">
        <f>'T5 Avoided Truck Miles'!H18</f>
        <v>221445.43826976634</v>
      </c>
      <c r="D23" s="115">
        <f t="shared" si="1"/>
        <v>42747.421185534695</v>
      </c>
      <c r="E23" s="126">
        <f>D23/((1+'T3 Inputs'!$B$4)^(B23-2016))</f>
        <v>13532.738805723235</v>
      </c>
      <c r="F23" s="118"/>
      <c r="G23" s="118"/>
      <c r="H23" s="350"/>
      <c r="L23" s="350"/>
      <c r="M23" s="350"/>
      <c r="N23" s="350"/>
      <c r="O23" s="350"/>
      <c r="P23" s="350"/>
      <c r="Q23" s="350"/>
      <c r="R23" s="350"/>
      <c r="S23" s="350"/>
      <c r="T23" s="350"/>
      <c r="U23" s="350"/>
      <c r="V23" s="350"/>
      <c r="W23" s="350"/>
      <c r="X23" s="350"/>
      <c r="Y23" s="350"/>
      <c r="Z23" s="350"/>
      <c r="AA23" s="350"/>
      <c r="AB23" s="350"/>
    </row>
    <row r="24" spans="1:28" x14ac:dyDescent="0.2">
      <c r="A24" s="332">
        <f t="shared" si="2"/>
        <v>15</v>
      </c>
      <c r="B24" s="90">
        <f t="shared" si="0"/>
        <v>2034</v>
      </c>
      <c r="C24" s="113">
        <f>'T5 Avoided Truck Miles'!H19</f>
        <v>221445.43826976634</v>
      </c>
      <c r="D24" s="115">
        <f t="shared" si="1"/>
        <v>42747.421185534695</v>
      </c>
      <c r="E24" s="126">
        <f>D24/((1+'T3 Inputs'!$B$4)^(B24-2016))</f>
        <v>12647.419444601153</v>
      </c>
      <c r="F24" s="118"/>
      <c r="G24" s="118"/>
      <c r="H24" s="350"/>
      <c r="L24" s="350"/>
      <c r="M24" s="350"/>
      <c r="N24" s="350"/>
      <c r="O24" s="350"/>
      <c r="P24" s="350"/>
      <c r="Q24" s="350"/>
      <c r="R24" s="350"/>
      <c r="S24" s="350"/>
      <c r="T24" s="350"/>
      <c r="U24" s="350"/>
      <c r="V24" s="350"/>
      <c r="W24" s="350"/>
      <c r="X24" s="350"/>
      <c r="Y24" s="350"/>
      <c r="Z24" s="350"/>
      <c r="AA24" s="350"/>
      <c r="AB24" s="350"/>
    </row>
    <row r="25" spans="1:28" x14ac:dyDescent="0.2">
      <c r="A25" s="332">
        <f t="shared" si="2"/>
        <v>16</v>
      </c>
      <c r="B25" s="90">
        <f t="shared" si="0"/>
        <v>2035</v>
      </c>
      <c r="C25" s="113">
        <f>'T5 Avoided Truck Miles'!H20</f>
        <v>221445.43826976634</v>
      </c>
      <c r="D25" s="115">
        <f t="shared" si="1"/>
        <v>42747.421185534695</v>
      </c>
      <c r="E25" s="126">
        <f>D25/((1+'T3 Inputs'!$B$4)^(B25-2016))</f>
        <v>11820.018172524442</v>
      </c>
      <c r="F25" s="118"/>
      <c r="G25" s="118"/>
      <c r="H25" s="350"/>
    </row>
    <row r="26" spans="1:28" x14ac:dyDescent="0.2">
      <c r="A26" s="332">
        <f t="shared" si="2"/>
        <v>17</v>
      </c>
      <c r="B26" s="90">
        <f t="shared" si="0"/>
        <v>2036</v>
      </c>
      <c r="C26" s="113">
        <f>'T5 Avoided Truck Miles'!H21</f>
        <v>221445.43826976634</v>
      </c>
      <c r="D26" s="115">
        <f t="shared" si="1"/>
        <v>42747.421185534695</v>
      </c>
      <c r="E26" s="126">
        <f>D26/((1+'T3 Inputs'!$B$4)^(B26-2016))</f>
        <v>11046.74595563032</v>
      </c>
      <c r="F26" s="118"/>
      <c r="G26" s="118"/>
      <c r="H26" s="350"/>
    </row>
    <row r="27" spans="1:28" x14ac:dyDescent="0.2">
      <c r="A27" s="332">
        <f t="shared" si="2"/>
        <v>18</v>
      </c>
      <c r="B27" s="90">
        <f t="shared" si="0"/>
        <v>2037</v>
      </c>
      <c r="C27" s="113">
        <f>'T5 Avoided Truck Miles'!H22</f>
        <v>221445.43826976634</v>
      </c>
      <c r="D27" s="115">
        <f t="shared" si="1"/>
        <v>42747.421185534695</v>
      </c>
      <c r="E27" s="126">
        <f>D27/((1+'T3 Inputs'!$B$4)^(B27-2016))</f>
        <v>10324.061640776001</v>
      </c>
      <c r="F27" s="118"/>
      <c r="G27" s="118"/>
      <c r="H27" s="350"/>
    </row>
    <row r="28" spans="1:28" x14ac:dyDescent="0.2">
      <c r="A28" s="332">
        <f t="shared" si="2"/>
        <v>19</v>
      </c>
      <c r="B28" s="90">
        <f t="shared" si="0"/>
        <v>2038</v>
      </c>
      <c r="C28" s="113">
        <f>'T5 Avoided Truck Miles'!H23</f>
        <v>221445.43826976634</v>
      </c>
      <c r="D28" s="115">
        <f t="shared" si="1"/>
        <v>42747.421185534695</v>
      </c>
      <c r="E28" s="126">
        <f>D28/((1+'T3 Inputs'!$B$4)^(B28-2016))</f>
        <v>9648.6557390429916</v>
      </c>
      <c r="F28" s="118"/>
      <c r="G28" s="118"/>
      <c r="H28" s="350"/>
    </row>
    <row r="29" spans="1:28" x14ac:dyDescent="0.2">
      <c r="A29" s="332">
        <f t="shared" si="2"/>
        <v>20</v>
      </c>
      <c r="B29" s="90">
        <f t="shared" si="0"/>
        <v>2039</v>
      </c>
      <c r="C29" s="113">
        <f>'T5 Avoided Truck Miles'!H24</f>
        <v>221445.43826976634</v>
      </c>
      <c r="D29" s="115">
        <f t="shared" si="1"/>
        <v>42747.421185534695</v>
      </c>
      <c r="E29" s="126">
        <f>D29/((1+'T3 Inputs'!$B$4)^(B29-2016))</f>
        <v>9017.4352701336356</v>
      </c>
      <c r="F29" s="118"/>
      <c r="G29" s="118"/>
      <c r="H29" s="350"/>
    </row>
    <row r="30" spans="1:28" x14ac:dyDescent="0.2">
      <c r="A30" s="332">
        <f t="shared" si="2"/>
        <v>21</v>
      </c>
      <c r="B30" s="90">
        <f t="shared" si="0"/>
        <v>2040</v>
      </c>
      <c r="C30" s="113">
        <f>'T5 Avoided Truck Miles'!H25</f>
        <v>221445.43826976634</v>
      </c>
      <c r="D30" s="115">
        <f t="shared" si="1"/>
        <v>42747.421185534695</v>
      </c>
      <c r="E30" s="126">
        <f>D30/((1+'T3 Inputs'!$B$4)^(B30-2016))</f>
        <v>8427.5095982557341</v>
      </c>
      <c r="F30" s="118"/>
      <c r="G30" s="118"/>
      <c r="H30" s="350"/>
    </row>
    <row r="31" spans="1:28" x14ac:dyDescent="0.2">
      <c r="A31" s="332">
        <f t="shared" si="2"/>
        <v>22</v>
      </c>
      <c r="B31" s="90">
        <f t="shared" si="0"/>
        <v>2041</v>
      </c>
      <c r="C31" s="113">
        <f>'T5 Avoided Truck Miles'!H26</f>
        <v>221445.43826976634</v>
      </c>
      <c r="D31" s="115">
        <f t="shared" si="1"/>
        <v>42747.421185534695</v>
      </c>
      <c r="E31" s="126">
        <f>D31/((1+'T3 Inputs'!$B$4)^(B31-2016))</f>
        <v>7876.1771946315266</v>
      </c>
      <c r="F31" s="118"/>
      <c r="G31" s="118"/>
      <c r="H31" s="350"/>
    </row>
    <row r="32" spans="1:28" x14ac:dyDescent="0.2">
      <c r="A32" s="332">
        <f t="shared" si="2"/>
        <v>23</v>
      </c>
      <c r="B32" s="90">
        <f t="shared" si="0"/>
        <v>2042</v>
      </c>
      <c r="C32" s="113">
        <f>'T5 Avoided Truck Miles'!H27</f>
        <v>221445.43826976634</v>
      </c>
      <c r="D32" s="115">
        <f t="shared" si="1"/>
        <v>42747.421185534695</v>
      </c>
      <c r="E32" s="126">
        <f>D32/((1+'T3 Inputs'!$B$4)^(B32-2016))</f>
        <v>7360.9132660107734</v>
      </c>
      <c r="F32" s="118"/>
      <c r="G32" s="118"/>
      <c r="H32" s="350"/>
    </row>
    <row r="33" spans="1:8" x14ac:dyDescent="0.2">
      <c r="A33" s="332">
        <f t="shared" si="2"/>
        <v>24</v>
      </c>
      <c r="B33" s="90">
        <f t="shared" si="0"/>
        <v>2043</v>
      </c>
      <c r="C33" s="113">
        <f>'T5 Avoided Truck Miles'!H28</f>
        <v>221445.43826976634</v>
      </c>
      <c r="D33" s="115">
        <f t="shared" si="1"/>
        <v>42747.421185534695</v>
      </c>
      <c r="E33" s="126">
        <f>D33/((1+'T3 Inputs'!$B$4)^(B33-2016))</f>
        <v>6879.358192533432</v>
      </c>
      <c r="F33" s="118"/>
      <c r="G33" s="118"/>
      <c r="H33" s="350"/>
    </row>
    <row r="34" spans="1:8" x14ac:dyDescent="0.2">
      <c r="A34" s="332">
        <f t="shared" si="2"/>
        <v>25</v>
      </c>
      <c r="B34" s="90">
        <f t="shared" si="0"/>
        <v>2044</v>
      </c>
      <c r="C34" s="113">
        <f>'T5 Avoided Truck Miles'!H29</f>
        <v>221445.43826976634</v>
      </c>
      <c r="D34" s="115">
        <f t="shared" si="1"/>
        <v>42747.421185534695</v>
      </c>
      <c r="E34" s="126">
        <f>D34/((1+'T3 Inputs'!$B$4)^(B34-2016))</f>
        <v>6429.306721993863</v>
      </c>
      <c r="F34" s="118"/>
      <c r="G34" s="118"/>
      <c r="H34" s="350"/>
    </row>
    <row r="35" spans="1:8" x14ac:dyDescent="0.2">
      <c r="A35" s="332">
        <f t="shared" si="2"/>
        <v>26</v>
      </c>
      <c r="B35" s="90">
        <f t="shared" si="0"/>
        <v>2045</v>
      </c>
      <c r="C35" s="113">
        <f>'T5 Avoided Truck Miles'!H30</f>
        <v>221445.43826976634</v>
      </c>
      <c r="D35" s="115">
        <f t="shared" si="1"/>
        <v>42747.421185534695</v>
      </c>
      <c r="E35" s="126">
        <f>D35/((1+'T3 Inputs'!$B$4)^(B35-2016))</f>
        <v>6008.6978710223011</v>
      </c>
      <c r="F35" s="118"/>
      <c r="G35" s="118"/>
      <c r="H35" s="350"/>
    </row>
    <row r="36" spans="1:8" x14ac:dyDescent="0.2">
      <c r="A36" s="332">
        <f t="shared" si="2"/>
        <v>27</v>
      </c>
      <c r="B36" s="90">
        <f t="shared" si="0"/>
        <v>2046</v>
      </c>
      <c r="C36" s="113">
        <f>'T5 Avoided Truck Miles'!H31</f>
        <v>221445.43826976634</v>
      </c>
      <c r="D36" s="115">
        <f t="shared" si="1"/>
        <v>42747.421185534695</v>
      </c>
      <c r="E36" s="126">
        <f>D36/((1+'T3 Inputs'!$B$4)^(B36-2016))</f>
        <v>5615.6054869367308</v>
      </c>
      <c r="F36" s="118"/>
      <c r="G36" s="118"/>
      <c r="H36" s="350"/>
    </row>
    <row r="37" spans="1:8" x14ac:dyDescent="0.2">
      <c r="A37" s="332">
        <f t="shared" si="2"/>
        <v>28</v>
      </c>
      <c r="B37" s="90">
        <f t="shared" si="0"/>
        <v>2047</v>
      </c>
      <c r="C37" s="113">
        <f>'T5 Avoided Truck Miles'!H32</f>
        <v>221445.43826976634</v>
      </c>
      <c r="D37" s="115">
        <f t="shared" si="1"/>
        <v>42747.421185534695</v>
      </c>
      <c r="E37" s="126">
        <f>D37/((1+'T3 Inputs'!$B$4)^(B37-2016))</f>
        <v>5248.2294270436723</v>
      </c>
      <c r="F37" s="118"/>
      <c r="G37" s="118"/>
      <c r="H37" s="350"/>
    </row>
    <row r="38" spans="1:8" x14ac:dyDescent="0.2">
      <c r="A38" s="332">
        <f t="shared" si="2"/>
        <v>29</v>
      </c>
      <c r="B38" s="90">
        <f t="shared" si="0"/>
        <v>2048</v>
      </c>
      <c r="C38" s="113">
        <f>'T5 Avoided Truck Miles'!H33</f>
        <v>221445.43826976634</v>
      </c>
      <c r="D38" s="115">
        <f t="shared" si="1"/>
        <v>42747.421185534695</v>
      </c>
      <c r="E38" s="126">
        <f>D38/((1+'T3 Inputs'!$B$4)^(B38-2016))</f>
        <v>4904.8873149940873</v>
      </c>
      <c r="F38" s="118"/>
      <c r="G38" s="118"/>
      <c r="H38" s="350"/>
    </row>
    <row r="39" spans="1:8" x14ac:dyDescent="0.2">
      <c r="A39" s="332">
        <f t="shared" si="2"/>
        <v>30</v>
      </c>
      <c r="B39" s="90">
        <f t="shared" si="0"/>
        <v>2049</v>
      </c>
      <c r="C39" s="113">
        <f>'T5 Avoided Truck Miles'!H34</f>
        <v>221445.43826976634</v>
      </c>
      <c r="D39" s="115">
        <f t="shared" si="1"/>
        <v>42747.421185534695</v>
      </c>
      <c r="E39" s="126">
        <f>D39/((1+'T3 Inputs'!$B$4)^(B39-2016))</f>
        <v>4584.0068364430717</v>
      </c>
      <c r="F39" s="118"/>
      <c r="G39" s="118"/>
      <c r="H39" s="350"/>
    </row>
    <row r="40" spans="1:8" ht="13.5" thickBot="1" x14ac:dyDescent="0.25">
      <c r="A40" s="610" t="s">
        <v>0</v>
      </c>
      <c r="B40" s="611"/>
      <c r="C40" s="122">
        <f>SUM(C9:C39)</f>
        <v>6625578.9915444087</v>
      </c>
      <c r="D40" s="123">
        <f>SUM(D8:D39)</f>
        <v>1278989.6146090429</v>
      </c>
      <c r="E40" s="124">
        <f>SUM(E8:E39)</f>
        <v>430389.85503287526</v>
      </c>
      <c r="F40" s="119"/>
      <c r="G40" s="119"/>
      <c r="H40" s="350"/>
    </row>
    <row r="41" spans="1:8" ht="13.5" thickBot="1" x14ac:dyDescent="0.25">
      <c r="A41" s="333"/>
      <c r="B41" s="333"/>
      <c r="F41" s="350"/>
      <c r="G41" s="350"/>
      <c r="H41" s="350"/>
    </row>
    <row r="42" spans="1:8" s="356" customFormat="1" ht="51" x14ac:dyDescent="0.2">
      <c r="A42" s="329" t="s">
        <v>130</v>
      </c>
      <c r="B42" s="148" t="s">
        <v>2</v>
      </c>
      <c r="C42" s="120" t="s">
        <v>163</v>
      </c>
      <c r="D42" s="120" t="s">
        <v>203</v>
      </c>
      <c r="E42" s="121" t="s">
        <v>204</v>
      </c>
      <c r="F42" s="355"/>
      <c r="G42" s="355"/>
      <c r="H42" s="355"/>
    </row>
    <row r="43" spans="1:8" x14ac:dyDescent="0.2">
      <c r="A43" s="332">
        <f t="shared" ref="A43:B62" si="3">A8</f>
        <v>-1</v>
      </c>
      <c r="B43" s="88">
        <f t="shared" si="3"/>
        <v>2018</v>
      </c>
      <c r="C43" s="112">
        <f t="shared" ref="C43:E62" si="4">ROUND(C8,-3)</f>
        <v>0</v>
      </c>
      <c r="D43" s="114">
        <f t="shared" si="4"/>
        <v>0</v>
      </c>
      <c r="E43" s="125">
        <f t="shared" si="4"/>
        <v>0</v>
      </c>
      <c r="F43" s="350"/>
      <c r="G43" s="350"/>
      <c r="H43" s="350"/>
    </row>
    <row r="44" spans="1:8" x14ac:dyDescent="0.2">
      <c r="A44" s="332">
        <f t="shared" si="3"/>
        <v>0</v>
      </c>
      <c r="B44" s="90">
        <f t="shared" si="3"/>
        <v>2019</v>
      </c>
      <c r="C44" s="112">
        <f t="shared" si="4"/>
        <v>0</v>
      </c>
      <c r="D44" s="114">
        <f t="shared" si="4"/>
        <v>0</v>
      </c>
      <c r="E44" s="125">
        <f t="shared" si="4"/>
        <v>0</v>
      </c>
      <c r="F44" s="350"/>
      <c r="G44" s="350"/>
      <c r="H44" s="350"/>
    </row>
    <row r="45" spans="1:8" x14ac:dyDescent="0.2">
      <c r="A45" s="332">
        <f t="shared" si="3"/>
        <v>1</v>
      </c>
      <c r="B45" s="90">
        <f t="shared" si="3"/>
        <v>2020</v>
      </c>
      <c r="C45" s="112">
        <f t="shared" si="4"/>
        <v>204000</v>
      </c>
      <c r="D45" s="114">
        <f t="shared" si="4"/>
        <v>39000</v>
      </c>
      <c r="E45" s="125">
        <f t="shared" si="4"/>
        <v>30000</v>
      </c>
      <c r="F45" s="350"/>
      <c r="G45" s="350"/>
      <c r="H45" s="350"/>
    </row>
    <row r="46" spans="1:8" x14ac:dyDescent="0.2">
      <c r="A46" s="332">
        <f t="shared" si="3"/>
        <v>2</v>
      </c>
      <c r="B46" s="90">
        <f t="shared" si="3"/>
        <v>2021</v>
      </c>
      <c r="C46" s="113">
        <f t="shared" si="4"/>
        <v>221000</v>
      </c>
      <c r="D46" s="115">
        <f t="shared" si="4"/>
        <v>43000</v>
      </c>
      <c r="E46" s="126">
        <f t="shared" si="4"/>
        <v>30000</v>
      </c>
    </row>
    <row r="47" spans="1:8" x14ac:dyDescent="0.2">
      <c r="A47" s="332">
        <f t="shared" si="3"/>
        <v>3</v>
      </c>
      <c r="B47" s="90">
        <f t="shared" si="3"/>
        <v>2022</v>
      </c>
      <c r="C47" s="113">
        <f t="shared" si="4"/>
        <v>221000</v>
      </c>
      <c r="D47" s="115">
        <f t="shared" si="4"/>
        <v>43000</v>
      </c>
      <c r="E47" s="126">
        <f t="shared" si="4"/>
        <v>28000</v>
      </c>
    </row>
    <row r="48" spans="1:8" x14ac:dyDescent="0.2">
      <c r="A48" s="332">
        <f t="shared" si="3"/>
        <v>4</v>
      </c>
      <c r="B48" s="90">
        <f t="shared" si="3"/>
        <v>2023</v>
      </c>
      <c r="C48" s="113">
        <f t="shared" si="4"/>
        <v>221000</v>
      </c>
      <c r="D48" s="115">
        <f t="shared" si="4"/>
        <v>43000</v>
      </c>
      <c r="E48" s="126">
        <f t="shared" si="4"/>
        <v>27000</v>
      </c>
    </row>
    <row r="49" spans="1:5" x14ac:dyDescent="0.2">
      <c r="A49" s="332">
        <f t="shared" si="3"/>
        <v>5</v>
      </c>
      <c r="B49" s="90">
        <f t="shared" si="3"/>
        <v>2024</v>
      </c>
      <c r="C49" s="113">
        <f t="shared" si="4"/>
        <v>221000</v>
      </c>
      <c r="D49" s="115">
        <f t="shared" si="4"/>
        <v>43000</v>
      </c>
      <c r="E49" s="126">
        <f t="shared" si="4"/>
        <v>25000</v>
      </c>
    </row>
    <row r="50" spans="1:5" x14ac:dyDescent="0.2">
      <c r="A50" s="332">
        <f t="shared" si="3"/>
        <v>6</v>
      </c>
      <c r="B50" s="90">
        <f t="shared" si="3"/>
        <v>2025</v>
      </c>
      <c r="C50" s="113">
        <f t="shared" si="4"/>
        <v>221000</v>
      </c>
      <c r="D50" s="115">
        <f t="shared" si="4"/>
        <v>43000</v>
      </c>
      <c r="E50" s="126">
        <f t="shared" si="4"/>
        <v>23000</v>
      </c>
    </row>
    <row r="51" spans="1:5" x14ac:dyDescent="0.2">
      <c r="A51" s="332">
        <f t="shared" si="3"/>
        <v>7</v>
      </c>
      <c r="B51" s="90">
        <f t="shared" si="3"/>
        <v>2026</v>
      </c>
      <c r="C51" s="113">
        <f t="shared" si="4"/>
        <v>221000</v>
      </c>
      <c r="D51" s="115">
        <f t="shared" si="4"/>
        <v>43000</v>
      </c>
      <c r="E51" s="126">
        <f t="shared" si="4"/>
        <v>22000</v>
      </c>
    </row>
    <row r="52" spans="1:5" x14ac:dyDescent="0.2">
      <c r="A52" s="332">
        <f t="shared" si="3"/>
        <v>8</v>
      </c>
      <c r="B52" s="90">
        <f t="shared" si="3"/>
        <v>2027</v>
      </c>
      <c r="C52" s="113">
        <f t="shared" si="4"/>
        <v>221000</v>
      </c>
      <c r="D52" s="115">
        <f t="shared" si="4"/>
        <v>43000</v>
      </c>
      <c r="E52" s="126">
        <f t="shared" si="4"/>
        <v>20000</v>
      </c>
    </row>
    <row r="53" spans="1:5" x14ac:dyDescent="0.2">
      <c r="A53" s="332">
        <f t="shared" si="3"/>
        <v>9</v>
      </c>
      <c r="B53" s="90">
        <f t="shared" si="3"/>
        <v>2028</v>
      </c>
      <c r="C53" s="113">
        <f t="shared" si="4"/>
        <v>221000</v>
      </c>
      <c r="D53" s="115">
        <f t="shared" si="4"/>
        <v>43000</v>
      </c>
      <c r="E53" s="126">
        <f t="shared" si="4"/>
        <v>19000</v>
      </c>
    </row>
    <row r="54" spans="1:5" x14ac:dyDescent="0.2">
      <c r="A54" s="332">
        <f t="shared" si="3"/>
        <v>10</v>
      </c>
      <c r="B54" s="90">
        <f t="shared" si="3"/>
        <v>2029</v>
      </c>
      <c r="C54" s="113">
        <f t="shared" si="4"/>
        <v>221000</v>
      </c>
      <c r="D54" s="115">
        <f t="shared" si="4"/>
        <v>43000</v>
      </c>
      <c r="E54" s="126">
        <f t="shared" si="4"/>
        <v>18000</v>
      </c>
    </row>
    <row r="55" spans="1:5" x14ac:dyDescent="0.2">
      <c r="A55" s="332">
        <f t="shared" si="3"/>
        <v>11</v>
      </c>
      <c r="B55" s="90">
        <f t="shared" si="3"/>
        <v>2030</v>
      </c>
      <c r="C55" s="113">
        <f t="shared" si="4"/>
        <v>221000</v>
      </c>
      <c r="D55" s="115">
        <f t="shared" si="4"/>
        <v>43000</v>
      </c>
      <c r="E55" s="126">
        <f t="shared" si="4"/>
        <v>17000</v>
      </c>
    </row>
    <row r="56" spans="1:5" x14ac:dyDescent="0.2">
      <c r="A56" s="332">
        <f t="shared" si="3"/>
        <v>12</v>
      </c>
      <c r="B56" s="90">
        <f t="shared" si="3"/>
        <v>2031</v>
      </c>
      <c r="C56" s="113">
        <f t="shared" si="4"/>
        <v>221000</v>
      </c>
      <c r="D56" s="115">
        <f t="shared" si="4"/>
        <v>43000</v>
      </c>
      <c r="E56" s="126">
        <f t="shared" si="4"/>
        <v>15000</v>
      </c>
    </row>
    <row r="57" spans="1:5" x14ac:dyDescent="0.2">
      <c r="A57" s="332">
        <f t="shared" si="3"/>
        <v>13</v>
      </c>
      <c r="B57" s="90">
        <f t="shared" si="3"/>
        <v>2032</v>
      </c>
      <c r="C57" s="113">
        <f t="shared" si="4"/>
        <v>221000</v>
      </c>
      <c r="D57" s="115">
        <f t="shared" si="4"/>
        <v>43000</v>
      </c>
      <c r="E57" s="126">
        <f t="shared" si="4"/>
        <v>14000</v>
      </c>
    </row>
    <row r="58" spans="1:5" x14ac:dyDescent="0.2">
      <c r="A58" s="332">
        <f t="shared" si="3"/>
        <v>14</v>
      </c>
      <c r="B58" s="90">
        <f t="shared" si="3"/>
        <v>2033</v>
      </c>
      <c r="C58" s="113">
        <f t="shared" si="4"/>
        <v>221000</v>
      </c>
      <c r="D58" s="115">
        <f t="shared" si="4"/>
        <v>43000</v>
      </c>
      <c r="E58" s="126">
        <f t="shared" si="4"/>
        <v>14000</v>
      </c>
    </row>
    <row r="59" spans="1:5" x14ac:dyDescent="0.2">
      <c r="A59" s="332">
        <f t="shared" si="3"/>
        <v>15</v>
      </c>
      <c r="B59" s="90">
        <f t="shared" si="3"/>
        <v>2034</v>
      </c>
      <c r="C59" s="113">
        <f t="shared" si="4"/>
        <v>221000</v>
      </c>
      <c r="D59" s="115">
        <f t="shared" si="4"/>
        <v>43000</v>
      </c>
      <c r="E59" s="126">
        <f t="shared" si="4"/>
        <v>13000</v>
      </c>
    </row>
    <row r="60" spans="1:5" x14ac:dyDescent="0.2">
      <c r="A60" s="332">
        <f t="shared" si="3"/>
        <v>16</v>
      </c>
      <c r="B60" s="90">
        <f t="shared" si="3"/>
        <v>2035</v>
      </c>
      <c r="C60" s="113">
        <f t="shared" si="4"/>
        <v>221000</v>
      </c>
      <c r="D60" s="115">
        <f t="shared" si="4"/>
        <v>43000</v>
      </c>
      <c r="E60" s="126">
        <f t="shared" si="4"/>
        <v>12000</v>
      </c>
    </row>
    <row r="61" spans="1:5" x14ac:dyDescent="0.2">
      <c r="A61" s="332">
        <f t="shared" si="3"/>
        <v>17</v>
      </c>
      <c r="B61" s="90">
        <f t="shared" si="3"/>
        <v>2036</v>
      </c>
      <c r="C61" s="113">
        <f t="shared" si="4"/>
        <v>221000</v>
      </c>
      <c r="D61" s="115">
        <f t="shared" si="4"/>
        <v>43000</v>
      </c>
      <c r="E61" s="126">
        <f t="shared" si="4"/>
        <v>11000</v>
      </c>
    </row>
    <row r="62" spans="1:5" x14ac:dyDescent="0.2">
      <c r="A62" s="332">
        <f t="shared" si="3"/>
        <v>18</v>
      </c>
      <c r="B62" s="90">
        <f t="shared" si="3"/>
        <v>2037</v>
      </c>
      <c r="C62" s="113">
        <f t="shared" si="4"/>
        <v>221000</v>
      </c>
      <c r="D62" s="115">
        <f t="shared" si="4"/>
        <v>43000</v>
      </c>
      <c r="E62" s="126">
        <f t="shared" si="4"/>
        <v>10000</v>
      </c>
    </row>
    <row r="63" spans="1:5" x14ac:dyDescent="0.2">
      <c r="A63" s="332">
        <f t="shared" ref="A63:B75" si="5">A28</f>
        <v>19</v>
      </c>
      <c r="B63" s="90">
        <f t="shared" si="5"/>
        <v>2038</v>
      </c>
      <c r="C63" s="113">
        <f t="shared" ref="C63:E75" si="6">ROUND(C28,-3)</f>
        <v>221000</v>
      </c>
      <c r="D63" s="115">
        <f t="shared" si="6"/>
        <v>43000</v>
      </c>
      <c r="E63" s="126">
        <f t="shared" si="6"/>
        <v>10000</v>
      </c>
    </row>
    <row r="64" spans="1:5" x14ac:dyDescent="0.2">
      <c r="A64" s="332">
        <f t="shared" si="5"/>
        <v>20</v>
      </c>
      <c r="B64" s="90">
        <f t="shared" si="5"/>
        <v>2039</v>
      </c>
      <c r="C64" s="113">
        <f t="shared" si="6"/>
        <v>221000</v>
      </c>
      <c r="D64" s="115">
        <f t="shared" si="6"/>
        <v>43000</v>
      </c>
      <c r="E64" s="126">
        <f t="shared" si="6"/>
        <v>9000</v>
      </c>
    </row>
    <row r="65" spans="1:5" x14ac:dyDescent="0.2">
      <c r="A65" s="332">
        <f t="shared" si="5"/>
        <v>21</v>
      </c>
      <c r="B65" s="90">
        <f t="shared" si="5"/>
        <v>2040</v>
      </c>
      <c r="C65" s="113">
        <f t="shared" si="6"/>
        <v>221000</v>
      </c>
      <c r="D65" s="115">
        <f t="shared" si="6"/>
        <v>43000</v>
      </c>
      <c r="E65" s="126">
        <f t="shared" si="6"/>
        <v>8000</v>
      </c>
    </row>
    <row r="66" spans="1:5" x14ac:dyDescent="0.2">
      <c r="A66" s="332">
        <f t="shared" si="5"/>
        <v>22</v>
      </c>
      <c r="B66" s="90">
        <f t="shared" si="5"/>
        <v>2041</v>
      </c>
      <c r="C66" s="113">
        <f t="shared" si="6"/>
        <v>221000</v>
      </c>
      <c r="D66" s="115">
        <f t="shared" si="6"/>
        <v>43000</v>
      </c>
      <c r="E66" s="126">
        <f t="shared" si="6"/>
        <v>8000</v>
      </c>
    </row>
    <row r="67" spans="1:5" x14ac:dyDescent="0.2">
      <c r="A67" s="332">
        <f t="shared" si="5"/>
        <v>23</v>
      </c>
      <c r="B67" s="90">
        <f t="shared" si="5"/>
        <v>2042</v>
      </c>
      <c r="C67" s="113">
        <f t="shared" si="6"/>
        <v>221000</v>
      </c>
      <c r="D67" s="115">
        <f t="shared" si="6"/>
        <v>43000</v>
      </c>
      <c r="E67" s="126">
        <f t="shared" si="6"/>
        <v>7000</v>
      </c>
    </row>
    <row r="68" spans="1:5" x14ac:dyDescent="0.2">
      <c r="A68" s="332">
        <f t="shared" si="5"/>
        <v>24</v>
      </c>
      <c r="B68" s="90">
        <f t="shared" si="5"/>
        <v>2043</v>
      </c>
      <c r="C68" s="113">
        <f t="shared" si="6"/>
        <v>221000</v>
      </c>
      <c r="D68" s="115">
        <f t="shared" si="6"/>
        <v>43000</v>
      </c>
      <c r="E68" s="126">
        <f t="shared" si="6"/>
        <v>7000</v>
      </c>
    </row>
    <row r="69" spans="1:5" x14ac:dyDescent="0.2">
      <c r="A69" s="332">
        <f t="shared" si="5"/>
        <v>25</v>
      </c>
      <c r="B69" s="90">
        <f t="shared" si="5"/>
        <v>2044</v>
      </c>
      <c r="C69" s="113">
        <f t="shared" si="6"/>
        <v>221000</v>
      </c>
      <c r="D69" s="115">
        <f t="shared" si="6"/>
        <v>43000</v>
      </c>
      <c r="E69" s="126">
        <f t="shared" si="6"/>
        <v>6000</v>
      </c>
    </row>
    <row r="70" spans="1:5" x14ac:dyDescent="0.2">
      <c r="A70" s="332">
        <f t="shared" si="5"/>
        <v>26</v>
      </c>
      <c r="B70" s="90">
        <f t="shared" si="5"/>
        <v>2045</v>
      </c>
      <c r="C70" s="113">
        <f t="shared" si="6"/>
        <v>221000</v>
      </c>
      <c r="D70" s="115">
        <f t="shared" si="6"/>
        <v>43000</v>
      </c>
      <c r="E70" s="126">
        <f t="shared" si="6"/>
        <v>6000</v>
      </c>
    </row>
    <row r="71" spans="1:5" x14ac:dyDescent="0.2">
      <c r="A71" s="332">
        <f t="shared" si="5"/>
        <v>27</v>
      </c>
      <c r="B71" s="90">
        <f t="shared" si="5"/>
        <v>2046</v>
      </c>
      <c r="C71" s="113">
        <f t="shared" si="6"/>
        <v>221000</v>
      </c>
      <c r="D71" s="115">
        <f t="shared" si="6"/>
        <v>43000</v>
      </c>
      <c r="E71" s="126">
        <f t="shared" si="6"/>
        <v>6000</v>
      </c>
    </row>
    <row r="72" spans="1:5" x14ac:dyDescent="0.2">
      <c r="A72" s="332">
        <f t="shared" si="5"/>
        <v>28</v>
      </c>
      <c r="B72" s="90">
        <f t="shared" si="5"/>
        <v>2047</v>
      </c>
      <c r="C72" s="113">
        <f t="shared" si="6"/>
        <v>221000</v>
      </c>
      <c r="D72" s="115">
        <f t="shared" si="6"/>
        <v>43000</v>
      </c>
      <c r="E72" s="126">
        <f t="shared" si="6"/>
        <v>5000</v>
      </c>
    </row>
    <row r="73" spans="1:5" x14ac:dyDescent="0.2">
      <c r="A73" s="332">
        <f t="shared" si="5"/>
        <v>29</v>
      </c>
      <c r="B73" s="90">
        <f t="shared" si="5"/>
        <v>2048</v>
      </c>
      <c r="C73" s="113">
        <f t="shared" si="6"/>
        <v>221000</v>
      </c>
      <c r="D73" s="115">
        <f t="shared" si="6"/>
        <v>43000</v>
      </c>
      <c r="E73" s="126">
        <f t="shared" si="6"/>
        <v>5000</v>
      </c>
    </row>
    <row r="74" spans="1:5" x14ac:dyDescent="0.2">
      <c r="A74" s="332">
        <f t="shared" si="5"/>
        <v>30</v>
      </c>
      <c r="B74" s="90">
        <f t="shared" si="5"/>
        <v>2049</v>
      </c>
      <c r="C74" s="113">
        <f t="shared" si="6"/>
        <v>221000</v>
      </c>
      <c r="D74" s="115">
        <f t="shared" si="6"/>
        <v>43000</v>
      </c>
      <c r="E74" s="126">
        <f t="shared" si="6"/>
        <v>5000</v>
      </c>
    </row>
    <row r="75" spans="1:5" ht="13.5" thickBot="1" x14ac:dyDescent="0.25">
      <c r="A75" s="610" t="str">
        <f t="shared" si="5"/>
        <v>Total</v>
      </c>
      <c r="B75" s="611">
        <f t="shared" si="5"/>
        <v>0</v>
      </c>
      <c r="C75" s="122">
        <f t="shared" si="6"/>
        <v>6626000</v>
      </c>
      <c r="D75" s="123">
        <f t="shared" si="6"/>
        <v>1279000</v>
      </c>
      <c r="E75" s="124">
        <f t="shared" si="6"/>
        <v>430000</v>
      </c>
    </row>
  </sheetData>
  <mergeCells count="6">
    <mergeCell ref="Q2:Q4"/>
    <mergeCell ref="K2:P2"/>
    <mergeCell ref="E2:J2"/>
    <mergeCell ref="A2:D2"/>
    <mergeCell ref="A75:B75"/>
    <mergeCell ref="A40:B40"/>
  </mergeCells>
  <pageMargins left="0.25" right="0.25" top="0.75" bottom="0.75" header="0.3" footer="0.3"/>
  <pageSetup orientation="portrait" horizontalDpi="300" verticalDpi="0" r:id="rId1"/>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Normal="100" workbookViewId="0">
      <selection activeCell="A2" sqref="A2:E2"/>
    </sheetView>
  </sheetViews>
  <sheetFormatPr defaultRowHeight="15" x14ac:dyDescent="0.25"/>
  <cols>
    <col min="1" max="1" width="41.140625" style="128" customWidth="1"/>
    <col min="2" max="2" width="9.28515625" style="128" bestFit="1" customWidth="1"/>
    <col min="3" max="3" width="13.42578125" style="128" customWidth="1"/>
    <col min="4" max="4" width="16" style="128" bestFit="1" customWidth="1"/>
    <col min="5" max="5" width="17.140625" style="128" bestFit="1" customWidth="1"/>
    <col min="6" max="6" width="14.42578125" style="128" bestFit="1" customWidth="1"/>
    <col min="7" max="7" width="14.5703125" style="128" bestFit="1" customWidth="1"/>
    <col min="8" max="8" width="9.140625" style="128"/>
    <col min="9" max="9" width="13.85546875" style="128" bestFit="1" customWidth="1"/>
    <col min="10" max="10" width="9.140625" style="128"/>
    <col min="11" max="11" width="15.7109375" style="128" bestFit="1" customWidth="1"/>
    <col min="12" max="12" width="15.7109375" style="128" customWidth="1"/>
    <col min="13" max="13" width="16.85546875" style="128" bestFit="1" customWidth="1"/>
    <col min="14" max="16" width="16.85546875" style="128" customWidth="1"/>
    <col min="17" max="17" width="18.28515625" style="128" customWidth="1"/>
    <col min="18" max="18" width="15" style="141" customWidth="1"/>
    <col min="19" max="19" width="13.7109375" style="141" customWidth="1"/>
    <col min="20" max="20" width="16" style="141" customWidth="1"/>
    <col min="21" max="16384" width="9.140625" style="128"/>
  </cols>
  <sheetData>
    <row r="1" spans="1:7" ht="15.75" thickBot="1" x14ac:dyDescent="0.3"/>
    <row r="2" spans="1:7" ht="15.75" thickBot="1" x14ac:dyDescent="0.3">
      <c r="A2" s="624" t="s">
        <v>205</v>
      </c>
      <c r="B2" s="625"/>
      <c r="C2" s="625"/>
      <c r="D2" s="625"/>
      <c r="E2" s="626"/>
    </row>
    <row r="3" spans="1:7" ht="29.25" thickBot="1" x14ac:dyDescent="0.3">
      <c r="A3" s="129" t="s">
        <v>206</v>
      </c>
      <c r="B3" s="130" t="s">
        <v>207</v>
      </c>
      <c r="C3" s="130" t="s">
        <v>208</v>
      </c>
      <c r="D3" s="130" t="s">
        <v>209</v>
      </c>
      <c r="E3" s="130" t="s">
        <v>210</v>
      </c>
    </row>
    <row r="4" spans="1:7" ht="15.75" thickBot="1" x14ac:dyDescent="0.3">
      <c r="A4" s="621" t="s">
        <v>293</v>
      </c>
      <c r="B4" s="622"/>
      <c r="C4" s="622"/>
      <c r="D4" s="622"/>
      <c r="E4" s="623"/>
    </row>
    <row r="5" spans="1:7" ht="15.75" thickBot="1" x14ac:dyDescent="0.3">
      <c r="A5" s="131" t="s">
        <v>211</v>
      </c>
      <c r="B5" s="132">
        <v>1</v>
      </c>
      <c r="C5" s="132" t="s">
        <v>212</v>
      </c>
      <c r="D5" s="133">
        <v>238853</v>
      </c>
      <c r="E5" s="133">
        <v>239000</v>
      </c>
    </row>
    <row r="6" spans="1:7" ht="15.75" thickBot="1" x14ac:dyDescent="0.3">
      <c r="A6" s="131" t="s">
        <v>213</v>
      </c>
      <c r="B6" s="132">
        <v>160</v>
      </c>
      <c r="C6" s="132" t="s">
        <v>214</v>
      </c>
      <c r="D6" s="133">
        <v>13812</v>
      </c>
      <c r="E6" s="133">
        <v>2210000</v>
      </c>
    </row>
    <row r="7" spans="1:7" ht="15.75" thickBot="1" x14ac:dyDescent="0.3">
      <c r="A7" s="131" t="s">
        <v>215</v>
      </c>
      <c r="B7" s="132">
        <v>1</v>
      </c>
      <c r="C7" s="132" t="s">
        <v>214</v>
      </c>
      <c r="D7" s="133">
        <v>724060</v>
      </c>
      <c r="E7" s="133">
        <v>724000</v>
      </c>
    </row>
    <row r="8" spans="1:7" ht="15.75" thickBot="1" x14ac:dyDescent="0.3">
      <c r="A8" s="131" t="s">
        <v>216</v>
      </c>
      <c r="B8" s="132">
        <v>15</v>
      </c>
      <c r="C8" s="132" t="s">
        <v>214</v>
      </c>
      <c r="D8" s="133">
        <v>103217</v>
      </c>
      <c r="E8" s="133">
        <v>1548000</v>
      </c>
    </row>
    <row r="9" spans="1:7" ht="15.75" thickBot="1" x14ac:dyDescent="0.3">
      <c r="A9" s="131" t="s">
        <v>217</v>
      </c>
      <c r="B9" s="132">
        <v>1</v>
      </c>
      <c r="C9" s="132" t="s">
        <v>214</v>
      </c>
      <c r="D9" s="133">
        <v>1445422</v>
      </c>
      <c r="E9" s="133">
        <v>1445000</v>
      </c>
    </row>
    <row r="10" spans="1:7" ht="15.75" thickBot="1" x14ac:dyDescent="0.3">
      <c r="A10" s="131" t="s">
        <v>218</v>
      </c>
      <c r="B10" s="132">
        <v>1</v>
      </c>
      <c r="C10" s="132" t="s">
        <v>212</v>
      </c>
      <c r="D10" s="133">
        <v>568126</v>
      </c>
      <c r="E10" s="133">
        <v>568000</v>
      </c>
    </row>
    <row r="11" spans="1:7" ht="15.75" thickBot="1" x14ac:dyDescent="0.3">
      <c r="A11" s="131" t="s">
        <v>219</v>
      </c>
      <c r="B11" s="132">
        <v>1</v>
      </c>
      <c r="C11" s="132" t="s">
        <v>212</v>
      </c>
      <c r="D11" s="133">
        <v>3000000</v>
      </c>
      <c r="E11" s="133">
        <v>3000000</v>
      </c>
    </row>
    <row r="12" spans="1:7" ht="15.75" thickBot="1" x14ac:dyDescent="0.3">
      <c r="A12" s="131" t="s">
        <v>220</v>
      </c>
      <c r="B12" s="132">
        <v>1</v>
      </c>
      <c r="C12" s="132" t="s">
        <v>212</v>
      </c>
      <c r="D12" s="134"/>
      <c r="E12" s="133">
        <v>973000</v>
      </c>
    </row>
    <row r="13" spans="1:7" ht="15.75" thickBot="1" x14ac:dyDescent="0.3">
      <c r="A13" s="612" t="s">
        <v>221</v>
      </c>
      <c r="B13" s="613"/>
      <c r="C13" s="613"/>
      <c r="D13" s="614"/>
      <c r="E13" s="135">
        <f>SUM(E5:E12)</f>
        <v>10707000</v>
      </c>
    </row>
    <row r="14" spans="1:7" ht="15.75" thickBot="1" x14ac:dyDescent="0.3">
      <c r="A14" s="612" t="s">
        <v>222</v>
      </c>
      <c r="B14" s="613"/>
      <c r="C14" s="613"/>
      <c r="D14" s="614"/>
      <c r="E14" s="135">
        <f>0.1*(SUM(E5:E11))</f>
        <v>973400</v>
      </c>
      <c r="G14" s="431"/>
    </row>
    <row r="15" spans="1:7" ht="15.75" thickBot="1" x14ac:dyDescent="0.3">
      <c r="A15" s="216"/>
      <c r="B15" s="217"/>
      <c r="C15" s="217"/>
      <c r="D15" s="192" t="s">
        <v>289</v>
      </c>
      <c r="E15" s="135">
        <f>SUM(E13:E14)</f>
        <v>11680400</v>
      </c>
    </row>
    <row r="16" spans="1:7" ht="15.75" thickBot="1" x14ac:dyDescent="0.3">
      <c r="A16" s="131" t="s">
        <v>285</v>
      </c>
      <c r="B16" s="132">
        <v>1</v>
      </c>
      <c r="C16" s="132" t="s">
        <v>212</v>
      </c>
      <c r="D16" s="133">
        <v>1000000</v>
      </c>
      <c r="E16" s="133">
        <v>1000000</v>
      </c>
    </row>
    <row r="17" spans="1:6" ht="15.75" thickBot="1" x14ac:dyDescent="0.3">
      <c r="A17" s="131" t="s">
        <v>223</v>
      </c>
      <c r="B17" s="132">
        <v>1</v>
      </c>
      <c r="C17" s="132" t="s">
        <v>212</v>
      </c>
      <c r="D17" s="134"/>
      <c r="E17" s="133">
        <v>250000</v>
      </c>
    </row>
    <row r="18" spans="1:6" ht="15.75" thickBot="1" x14ac:dyDescent="0.3">
      <c r="A18" s="612" t="s">
        <v>286</v>
      </c>
      <c r="B18" s="613"/>
      <c r="C18" s="613"/>
      <c r="D18" s="614"/>
      <c r="E18" s="135">
        <v>1250000</v>
      </c>
    </row>
    <row r="19" spans="1:6" ht="15.75" thickBot="1" x14ac:dyDescent="0.3">
      <c r="A19" s="612" t="s">
        <v>287</v>
      </c>
      <c r="B19" s="613"/>
      <c r="C19" s="613"/>
      <c r="D19" s="614"/>
      <c r="E19" s="135">
        <f>E16*0.1</f>
        <v>100000</v>
      </c>
    </row>
    <row r="20" spans="1:6" ht="15.75" thickBot="1" x14ac:dyDescent="0.3">
      <c r="A20" s="216"/>
      <c r="B20" s="217"/>
      <c r="C20" s="217"/>
      <c r="D20" s="192" t="s">
        <v>288</v>
      </c>
      <c r="E20" s="135">
        <f>SUM(E18:E19)</f>
        <v>1350000</v>
      </c>
    </row>
    <row r="21" spans="1:6" ht="15.75" thickBot="1" x14ac:dyDescent="0.3">
      <c r="A21" s="612" t="s">
        <v>290</v>
      </c>
      <c r="B21" s="613"/>
      <c r="C21" s="613"/>
      <c r="D21" s="614"/>
      <c r="E21" s="135">
        <f>E13+E18</f>
        <v>11957000</v>
      </c>
    </row>
    <row r="22" spans="1:6" ht="15.75" thickBot="1" x14ac:dyDescent="0.3">
      <c r="A22" s="612" t="s">
        <v>291</v>
      </c>
      <c r="B22" s="613"/>
      <c r="C22" s="613"/>
      <c r="D22" s="614"/>
      <c r="E22" s="135">
        <f>E14+E19</f>
        <v>1073400</v>
      </c>
    </row>
    <row r="23" spans="1:6" ht="15.75" thickBot="1" x14ac:dyDescent="0.3">
      <c r="A23" s="216"/>
      <c r="B23" s="217"/>
      <c r="C23" s="217"/>
      <c r="D23" s="192" t="s">
        <v>292</v>
      </c>
      <c r="E23" s="135">
        <f>SUM(E21:E22)</f>
        <v>13030400</v>
      </c>
    </row>
    <row r="24" spans="1:6" ht="15.75" thickBot="1" x14ac:dyDescent="0.3">
      <c r="A24" s="621" t="s">
        <v>168</v>
      </c>
      <c r="B24" s="622"/>
      <c r="C24" s="622"/>
      <c r="D24" s="622"/>
      <c r="E24" s="623"/>
    </row>
    <row r="25" spans="1:6" ht="15.75" thickBot="1" x14ac:dyDescent="0.3">
      <c r="A25" s="131" t="s">
        <v>224</v>
      </c>
      <c r="B25" s="132">
        <v>1</v>
      </c>
      <c r="C25" s="132" t="s">
        <v>212</v>
      </c>
      <c r="D25" s="187">
        <v>8500000</v>
      </c>
      <c r="E25" s="187">
        <v>10500000</v>
      </c>
      <c r="F25" s="140"/>
    </row>
    <row r="26" spans="1:6" ht="15.75" thickBot="1" x14ac:dyDescent="0.3">
      <c r="A26" s="131" t="s">
        <v>225</v>
      </c>
      <c r="B26" s="191">
        <v>0.1</v>
      </c>
      <c r="C26" s="132" t="s">
        <v>212</v>
      </c>
      <c r="D26" s="187">
        <f>E25*B26</f>
        <v>1050000</v>
      </c>
      <c r="E26" s="188">
        <f>D26</f>
        <v>1050000</v>
      </c>
    </row>
    <row r="27" spans="1:6" ht="15.75" thickBot="1" x14ac:dyDescent="0.3">
      <c r="A27" s="612" t="s">
        <v>226</v>
      </c>
      <c r="B27" s="613"/>
      <c r="C27" s="613"/>
      <c r="D27" s="614"/>
      <c r="E27" s="189">
        <f>SUM(E25:E26)</f>
        <v>11550000</v>
      </c>
    </row>
    <row r="28" spans="1:6" ht="15.75" thickBot="1" x14ac:dyDescent="0.3">
      <c r="A28" s="612" t="s">
        <v>227</v>
      </c>
      <c r="B28" s="613"/>
      <c r="C28" s="613"/>
      <c r="D28" s="614"/>
      <c r="E28" s="189">
        <f>E25*0.1</f>
        <v>1050000</v>
      </c>
    </row>
    <row r="29" spans="1:6" ht="15.75" thickBot="1" x14ac:dyDescent="0.3">
      <c r="A29" s="615" t="s">
        <v>246</v>
      </c>
      <c r="B29" s="616"/>
      <c r="C29" s="616"/>
      <c r="D29" s="617"/>
      <c r="E29" s="190">
        <f>SUM(E27:E28)</f>
        <v>12600000</v>
      </c>
    </row>
    <row r="30" spans="1:6" ht="15.75" thickBot="1" x14ac:dyDescent="0.3">
      <c r="A30" s="621" t="s">
        <v>128</v>
      </c>
      <c r="B30" s="622"/>
      <c r="C30" s="622"/>
      <c r="D30" s="622"/>
      <c r="E30" s="623"/>
    </row>
    <row r="31" spans="1:6" ht="15.75" thickBot="1" x14ac:dyDescent="0.3">
      <c r="A31" s="131" t="s">
        <v>228</v>
      </c>
      <c r="B31" s="132">
        <v>2</v>
      </c>
      <c r="C31" s="132" t="s">
        <v>214</v>
      </c>
      <c r="D31" s="137">
        <v>3900000</v>
      </c>
      <c r="E31" s="133">
        <v>7800000</v>
      </c>
    </row>
    <row r="32" spans="1:6" ht="15.75" thickBot="1" x14ac:dyDescent="0.3">
      <c r="A32" s="131" t="s">
        <v>229</v>
      </c>
      <c r="B32" s="132">
        <v>1</v>
      </c>
      <c r="C32" s="132" t="s">
        <v>212</v>
      </c>
      <c r="D32" s="137">
        <v>1560000</v>
      </c>
      <c r="E32" s="133">
        <v>1560000</v>
      </c>
    </row>
    <row r="33" spans="1:16" ht="15.75" thickBot="1" x14ac:dyDescent="0.3">
      <c r="A33" s="131" t="s">
        <v>224</v>
      </c>
      <c r="B33" s="132">
        <v>1</v>
      </c>
      <c r="C33" s="132" t="s">
        <v>212</v>
      </c>
      <c r="D33" s="137">
        <v>560000</v>
      </c>
      <c r="E33" s="133">
        <v>560000</v>
      </c>
    </row>
    <row r="34" spans="1:16" ht="15.75" thickBot="1" x14ac:dyDescent="0.3">
      <c r="A34" s="131" t="s">
        <v>223</v>
      </c>
      <c r="B34" s="132">
        <v>1</v>
      </c>
      <c r="C34" s="132" t="s">
        <v>212</v>
      </c>
      <c r="D34" s="137">
        <v>1092000</v>
      </c>
      <c r="E34" s="133">
        <v>1092000</v>
      </c>
    </row>
    <row r="35" spans="1:16" ht="15.75" thickBot="1" x14ac:dyDescent="0.3">
      <c r="A35" s="612" t="s">
        <v>230</v>
      </c>
      <c r="B35" s="613"/>
      <c r="C35" s="613"/>
      <c r="D35" s="614"/>
      <c r="E35" s="135">
        <f>SUM(E31:E34)</f>
        <v>11012000</v>
      </c>
      <c r="K35" s="139"/>
    </row>
    <row r="36" spans="1:16" ht="15.75" thickBot="1" x14ac:dyDescent="0.3">
      <c r="A36" s="612" t="s">
        <v>231</v>
      </c>
      <c r="B36" s="613"/>
      <c r="C36" s="613"/>
      <c r="D36" s="614"/>
      <c r="E36" s="135">
        <f>(SUM(E31:E33))*0.1</f>
        <v>992000</v>
      </c>
      <c r="I36" s="141"/>
      <c r="P36" s="139"/>
    </row>
    <row r="37" spans="1:16" ht="15.75" thickBot="1" x14ac:dyDescent="0.3">
      <c r="A37" s="615" t="s">
        <v>247</v>
      </c>
      <c r="B37" s="616"/>
      <c r="C37" s="616"/>
      <c r="D37" s="617"/>
      <c r="E37" s="136">
        <f>SUM(E35:E36)</f>
        <v>12004000</v>
      </c>
      <c r="P37" s="139"/>
    </row>
    <row r="38" spans="1:16" ht="15.75" thickBot="1" x14ac:dyDescent="0.3">
      <c r="A38" s="618" t="s">
        <v>232</v>
      </c>
      <c r="B38" s="619"/>
      <c r="C38" s="619"/>
      <c r="D38" s="620"/>
      <c r="E38" s="138">
        <f>SUM(E23,E29,E37)</f>
        <v>37634400</v>
      </c>
    </row>
  </sheetData>
  <mergeCells count="17">
    <mergeCell ref="A2:E2"/>
    <mergeCell ref="A4:E4"/>
    <mergeCell ref="A13:D13"/>
    <mergeCell ref="A14:D14"/>
    <mergeCell ref="A30:E30"/>
    <mergeCell ref="A18:D18"/>
    <mergeCell ref="A19:D19"/>
    <mergeCell ref="A21:D21"/>
    <mergeCell ref="A22:D22"/>
    <mergeCell ref="A36:D36"/>
    <mergeCell ref="A37:D37"/>
    <mergeCell ref="A38:D38"/>
    <mergeCell ref="A24:E24"/>
    <mergeCell ref="A27:D27"/>
    <mergeCell ref="A28:D28"/>
    <mergeCell ref="A29:D29"/>
    <mergeCell ref="A35:D35"/>
  </mergeCells>
  <printOptions horizontalCentered="1" verticalCentered="1"/>
  <pageMargins left="0.7" right="0.7" top="0.75" bottom="0.75" header="0.3" footer="0.3"/>
  <pageSetup paperSize="17"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zoomScaleNormal="100" workbookViewId="0">
      <selection sqref="A1:A2"/>
    </sheetView>
  </sheetViews>
  <sheetFormatPr defaultRowHeight="12.75" x14ac:dyDescent="0.2"/>
  <cols>
    <col min="1" max="2" width="7.7109375" style="430" customWidth="1"/>
    <col min="3" max="12" width="12.140625" customWidth="1"/>
  </cols>
  <sheetData>
    <row r="1" spans="1:12" ht="14.25" x14ac:dyDescent="0.2">
      <c r="A1" s="632" t="s">
        <v>130</v>
      </c>
      <c r="B1" s="634" t="s">
        <v>2</v>
      </c>
      <c r="C1" s="636" t="s">
        <v>233</v>
      </c>
      <c r="D1" s="637"/>
      <c r="E1" s="636" t="s">
        <v>234</v>
      </c>
      <c r="F1" s="638"/>
      <c r="G1" s="639" t="s">
        <v>239</v>
      </c>
      <c r="H1" s="640"/>
      <c r="I1" s="641"/>
      <c r="J1" s="627" t="s">
        <v>272</v>
      </c>
      <c r="K1" s="628"/>
      <c r="L1" s="629"/>
    </row>
    <row r="2" spans="1:12" ht="32.25" customHeight="1" x14ac:dyDescent="0.2">
      <c r="A2" s="633"/>
      <c r="B2" s="635"/>
      <c r="C2" s="144" t="s">
        <v>123</v>
      </c>
      <c r="D2" s="144" t="s">
        <v>235</v>
      </c>
      <c r="E2" s="144" t="s">
        <v>236</v>
      </c>
      <c r="F2" s="193" t="s">
        <v>237</v>
      </c>
      <c r="G2" s="199" t="s">
        <v>123</v>
      </c>
      <c r="H2" s="144" t="s">
        <v>237</v>
      </c>
      <c r="I2" s="200" t="s">
        <v>238</v>
      </c>
      <c r="J2" s="196" t="s">
        <v>123</v>
      </c>
      <c r="K2" s="145" t="s">
        <v>237</v>
      </c>
      <c r="L2" s="146" t="s">
        <v>238</v>
      </c>
    </row>
    <row r="3" spans="1:12" s="425" customFormat="1" ht="15" customHeight="1" x14ac:dyDescent="0.2">
      <c r="A3" s="420">
        <f>A4-1</f>
        <v>-2</v>
      </c>
      <c r="B3" s="421">
        <f>B4-1</f>
        <v>2017</v>
      </c>
      <c r="C3" s="423">
        <f>SUM('T27 Capital Expenditure'!C15:F15)</f>
        <v>0</v>
      </c>
      <c r="D3" s="423">
        <f>SUM('T27 Capital Expenditure'!C11:F11)+SUM('T27 Capital Expenditure'!C13:F13)</f>
        <v>822600</v>
      </c>
      <c r="E3" s="423">
        <f>SUM('T27 Capital Expenditure'!C16:F16)</f>
        <v>0</v>
      </c>
      <c r="F3" s="426">
        <f>SUM('T27 Capital Expenditure'!C12:F12)+SUM('T27 Capital Expenditure'!C14:F14)</f>
        <v>0</v>
      </c>
      <c r="G3" s="427">
        <f>SUM(C3,E3)</f>
        <v>0</v>
      </c>
      <c r="H3" s="423">
        <f>SUM(D3,F3)</f>
        <v>822600</v>
      </c>
      <c r="I3" s="424">
        <f>SUM(G3:H3)</f>
        <v>822600</v>
      </c>
      <c r="J3" s="422">
        <f>G3/((1+'T3 Inputs'!$B$4)^(B3-2016))</f>
        <v>0</v>
      </c>
      <c r="K3" s="423">
        <f>H3/((1+'T3 Inputs'!$B$4)^(B3-2016))</f>
        <v>768785.04672897188</v>
      </c>
      <c r="L3" s="424">
        <f>I3/((1+'T3 Inputs'!$B$4)^(B3-2016))</f>
        <v>768785.04672897188</v>
      </c>
    </row>
    <row r="4" spans="1:12" ht="15" customHeight="1" x14ac:dyDescent="0.25">
      <c r="A4" s="428">
        <v>-1</v>
      </c>
      <c r="B4" s="429">
        <v>2018</v>
      </c>
      <c r="C4" s="142">
        <f>SUM('T27 Capital Expenditure'!G15:J15)</f>
        <v>644040</v>
      </c>
      <c r="D4" s="142">
        <f>SUM('T27 Capital Expenditure'!G11:J11)+SUM('T27 Capital Expenditure'!G13:J13)</f>
        <v>1219400</v>
      </c>
      <c r="E4" s="142">
        <f>SUM('T27 Capital Expenditure'!G16:J16)</f>
        <v>0</v>
      </c>
      <c r="F4" s="194">
        <f>SUM('T27 Capital Expenditure'!G12:J12)+SUM('T27 Capital Expenditure'!G14:J14)</f>
        <v>9078600</v>
      </c>
      <c r="G4" s="201">
        <f t="shared" ref="G4:G35" si="0">SUM(C4,E4)</f>
        <v>644040</v>
      </c>
      <c r="H4" s="142">
        <f t="shared" ref="H4:H35" si="1">SUM(D4,F4)</f>
        <v>10298000</v>
      </c>
      <c r="I4" s="143">
        <f t="shared" ref="I4:I35" si="2">SUM(G4:H4)</f>
        <v>10942040</v>
      </c>
      <c r="J4" s="197">
        <f>G4/((1+'T3 Inputs'!$B$4)^(B4-2016))</f>
        <v>562529.47855707922</v>
      </c>
      <c r="K4" s="142">
        <f>H4/((1+'T3 Inputs'!$B$4)^(B4-2016))</f>
        <v>8994672.0237575341</v>
      </c>
      <c r="L4" s="143">
        <f>I4/((1+'T3 Inputs'!$B$4)^(B4-2016))</f>
        <v>9557201.5023146123</v>
      </c>
    </row>
    <row r="5" spans="1:12" ht="15" x14ac:dyDescent="0.25">
      <c r="A5" s="428">
        <v>0</v>
      </c>
      <c r="B5" s="429">
        <f t="shared" ref="B5:B35" si="3">B4+1</f>
        <v>2019</v>
      </c>
      <c r="C5" s="142">
        <f>SUM('T27 Capital Expenditure'!K15:N15)</f>
        <v>429360</v>
      </c>
      <c r="D5" s="142">
        <f>SUM('T27 Capital Expenditure'!K11:N11)+SUM('T27 Capital Expenditure'!K13:N13)</f>
        <v>0</v>
      </c>
      <c r="E5" s="142">
        <f>SUM('T27 Capital Expenditure'!K16:N16)</f>
        <v>11957000</v>
      </c>
      <c r="F5" s="194">
        <f>SUM('T27 Capital Expenditure'!K12:N12)+SUM('T27 Capital Expenditure'!K14:N14)</f>
        <v>13483400</v>
      </c>
      <c r="G5" s="201">
        <f t="shared" si="0"/>
        <v>12386360</v>
      </c>
      <c r="H5" s="142">
        <f t="shared" si="1"/>
        <v>13483400</v>
      </c>
      <c r="I5" s="143">
        <f t="shared" si="2"/>
        <v>25869760</v>
      </c>
      <c r="J5" s="197">
        <f>G5/((1+'T3 Inputs'!$B$4)^(B5-2016))</f>
        <v>10110959.370405773</v>
      </c>
      <c r="K5" s="142">
        <f>H5/((1+'T3 Inputs'!$B$4)^(B5-2016))</f>
        <v>11006470.793270113</v>
      </c>
      <c r="L5" s="143">
        <f>I5/((1+'T3 Inputs'!$B$4)^(B5-2016))</f>
        <v>21117430.163675886</v>
      </c>
    </row>
    <row r="6" spans="1:12" ht="15" x14ac:dyDescent="0.25">
      <c r="A6" s="428">
        <f t="shared" ref="A6:A35" si="4">A5+1</f>
        <v>1</v>
      </c>
      <c r="B6" s="429">
        <f t="shared" si="3"/>
        <v>2020</v>
      </c>
      <c r="C6" s="142">
        <v>0</v>
      </c>
      <c r="D6" s="142">
        <v>0</v>
      </c>
      <c r="E6" s="142">
        <v>0</v>
      </c>
      <c r="F6" s="194">
        <v>0</v>
      </c>
      <c r="G6" s="201">
        <f t="shared" si="0"/>
        <v>0</v>
      </c>
      <c r="H6" s="142">
        <f t="shared" si="1"/>
        <v>0</v>
      </c>
      <c r="I6" s="143">
        <f t="shared" si="2"/>
        <v>0</v>
      </c>
      <c r="J6" s="197">
        <f>G6/((1+'T3 Inputs'!$B$4)^(B6-2016))</f>
        <v>0</v>
      </c>
      <c r="K6" s="142">
        <f>H6/((1+'T3 Inputs'!$B$4)^(B6-2016))</f>
        <v>0</v>
      </c>
      <c r="L6" s="143">
        <f>I6/((1+'T3 Inputs'!$B$4)^(B6-2016))</f>
        <v>0</v>
      </c>
    </row>
    <row r="7" spans="1:12" ht="15" x14ac:dyDescent="0.25">
      <c r="A7" s="428">
        <f t="shared" si="4"/>
        <v>2</v>
      </c>
      <c r="B7" s="429">
        <f t="shared" si="3"/>
        <v>2021</v>
      </c>
      <c r="C7" s="142">
        <v>0</v>
      </c>
      <c r="D7" s="142">
        <v>0</v>
      </c>
      <c r="E7" s="142">
        <v>0</v>
      </c>
      <c r="F7" s="194">
        <v>0</v>
      </c>
      <c r="G7" s="201">
        <f t="shared" si="0"/>
        <v>0</v>
      </c>
      <c r="H7" s="142">
        <f t="shared" si="1"/>
        <v>0</v>
      </c>
      <c r="I7" s="143">
        <f t="shared" si="2"/>
        <v>0</v>
      </c>
      <c r="J7" s="197">
        <f>G7/((1+'T3 Inputs'!$B$4)^(B7-2016))</f>
        <v>0</v>
      </c>
      <c r="K7" s="142">
        <f>H7/((1+'T3 Inputs'!$B$4)^(B7-2016))</f>
        <v>0</v>
      </c>
      <c r="L7" s="143">
        <f>I7/((1+'T3 Inputs'!$B$4)^(B7-2016))</f>
        <v>0</v>
      </c>
    </row>
    <row r="8" spans="1:12" ht="15" x14ac:dyDescent="0.25">
      <c r="A8" s="428">
        <f t="shared" si="4"/>
        <v>3</v>
      </c>
      <c r="B8" s="429">
        <f t="shared" si="3"/>
        <v>2022</v>
      </c>
      <c r="C8" s="142">
        <v>0</v>
      </c>
      <c r="D8" s="142">
        <v>0</v>
      </c>
      <c r="E8" s="142">
        <v>0</v>
      </c>
      <c r="F8" s="194">
        <v>0</v>
      </c>
      <c r="G8" s="201">
        <f t="shared" si="0"/>
        <v>0</v>
      </c>
      <c r="H8" s="142">
        <f t="shared" si="1"/>
        <v>0</v>
      </c>
      <c r="I8" s="143">
        <f t="shared" si="2"/>
        <v>0</v>
      </c>
      <c r="J8" s="197">
        <f>G8/((1+'T3 Inputs'!$B$4)^(B8-2016))</f>
        <v>0</v>
      </c>
      <c r="K8" s="142">
        <f>H8/((1+'T3 Inputs'!$B$4)^(B8-2016))</f>
        <v>0</v>
      </c>
      <c r="L8" s="143">
        <f>I8/((1+'T3 Inputs'!$B$4)^(B8-2016))</f>
        <v>0</v>
      </c>
    </row>
    <row r="9" spans="1:12" ht="15" x14ac:dyDescent="0.25">
      <c r="A9" s="428">
        <f t="shared" si="4"/>
        <v>4</v>
      </c>
      <c r="B9" s="429">
        <f t="shared" si="3"/>
        <v>2023</v>
      </c>
      <c r="C9" s="142">
        <v>0</v>
      </c>
      <c r="D9" s="142">
        <v>0</v>
      </c>
      <c r="E9" s="142">
        <v>0</v>
      </c>
      <c r="F9" s="194">
        <v>0</v>
      </c>
      <c r="G9" s="201">
        <f t="shared" si="0"/>
        <v>0</v>
      </c>
      <c r="H9" s="142">
        <f t="shared" si="1"/>
        <v>0</v>
      </c>
      <c r="I9" s="143">
        <f t="shared" si="2"/>
        <v>0</v>
      </c>
      <c r="J9" s="197">
        <f>G9/((1+'T3 Inputs'!$B$4)^(B9-2016))</f>
        <v>0</v>
      </c>
      <c r="K9" s="142">
        <f>H9/((1+'T3 Inputs'!$B$4)^(B9-2016))</f>
        <v>0</v>
      </c>
      <c r="L9" s="143">
        <f>I9/((1+'T3 Inputs'!$B$4)^(B9-2016))</f>
        <v>0</v>
      </c>
    </row>
    <row r="10" spans="1:12" ht="15" x14ac:dyDescent="0.25">
      <c r="A10" s="428">
        <f t="shared" si="4"/>
        <v>5</v>
      </c>
      <c r="B10" s="429">
        <f t="shared" si="3"/>
        <v>2024</v>
      </c>
      <c r="C10" s="142">
        <v>0</v>
      </c>
      <c r="D10" s="142">
        <v>0</v>
      </c>
      <c r="E10" s="142">
        <v>0</v>
      </c>
      <c r="F10" s="194">
        <v>0</v>
      </c>
      <c r="G10" s="201">
        <f t="shared" si="0"/>
        <v>0</v>
      </c>
      <c r="H10" s="142">
        <f t="shared" si="1"/>
        <v>0</v>
      </c>
      <c r="I10" s="143">
        <f t="shared" si="2"/>
        <v>0</v>
      </c>
      <c r="J10" s="197">
        <f>G10/((1+'T3 Inputs'!$B$4)^(B10-2016))</f>
        <v>0</v>
      </c>
      <c r="K10" s="142">
        <f>H10/((1+'T3 Inputs'!$B$4)^(B10-2016))</f>
        <v>0</v>
      </c>
      <c r="L10" s="143">
        <f>I10/((1+'T3 Inputs'!$B$4)^(B10-2016))</f>
        <v>0</v>
      </c>
    </row>
    <row r="11" spans="1:12" ht="15" x14ac:dyDescent="0.25">
      <c r="A11" s="428">
        <f t="shared" si="4"/>
        <v>6</v>
      </c>
      <c r="B11" s="429">
        <f t="shared" si="3"/>
        <v>2025</v>
      </c>
      <c r="C11" s="142">
        <v>0</v>
      </c>
      <c r="D11" s="142">
        <v>0</v>
      </c>
      <c r="E11" s="142">
        <v>0</v>
      </c>
      <c r="F11" s="194">
        <v>0</v>
      </c>
      <c r="G11" s="201">
        <f t="shared" si="0"/>
        <v>0</v>
      </c>
      <c r="H11" s="142">
        <f t="shared" si="1"/>
        <v>0</v>
      </c>
      <c r="I11" s="143">
        <f t="shared" si="2"/>
        <v>0</v>
      </c>
      <c r="J11" s="197">
        <f>G11/((1+'T3 Inputs'!$B$4)^(B11-2016))</f>
        <v>0</v>
      </c>
      <c r="K11" s="142">
        <f>H11/((1+'T3 Inputs'!$B$4)^(B11-2016))</f>
        <v>0</v>
      </c>
      <c r="L11" s="143">
        <f>I11/((1+'T3 Inputs'!$B$4)^(B11-2016))</f>
        <v>0</v>
      </c>
    </row>
    <row r="12" spans="1:12" ht="15" x14ac:dyDescent="0.25">
      <c r="A12" s="428">
        <f t="shared" si="4"/>
        <v>7</v>
      </c>
      <c r="B12" s="429">
        <f t="shared" si="3"/>
        <v>2026</v>
      </c>
      <c r="C12" s="142">
        <v>0</v>
      </c>
      <c r="D12" s="142">
        <v>0</v>
      </c>
      <c r="E12" s="142">
        <v>0</v>
      </c>
      <c r="F12" s="194">
        <v>0</v>
      </c>
      <c r="G12" s="201">
        <f t="shared" si="0"/>
        <v>0</v>
      </c>
      <c r="H12" s="142">
        <f t="shared" si="1"/>
        <v>0</v>
      </c>
      <c r="I12" s="143">
        <f t="shared" si="2"/>
        <v>0</v>
      </c>
      <c r="J12" s="197">
        <f>G12/((1+'T3 Inputs'!$B$4)^(B12-2016))</f>
        <v>0</v>
      </c>
      <c r="K12" s="142">
        <f>H12/((1+'T3 Inputs'!$B$4)^(B12-2016))</f>
        <v>0</v>
      </c>
      <c r="L12" s="143">
        <f>I12/((1+'T3 Inputs'!$B$4)^(B12-2016))</f>
        <v>0</v>
      </c>
    </row>
    <row r="13" spans="1:12" ht="15" x14ac:dyDescent="0.25">
      <c r="A13" s="428">
        <f t="shared" si="4"/>
        <v>8</v>
      </c>
      <c r="B13" s="429">
        <f t="shared" si="3"/>
        <v>2027</v>
      </c>
      <c r="C13" s="142">
        <v>0</v>
      </c>
      <c r="D13" s="142">
        <v>0</v>
      </c>
      <c r="E13" s="142">
        <v>0</v>
      </c>
      <c r="F13" s="194">
        <v>0</v>
      </c>
      <c r="G13" s="201">
        <f t="shared" si="0"/>
        <v>0</v>
      </c>
      <c r="H13" s="142">
        <f t="shared" si="1"/>
        <v>0</v>
      </c>
      <c r="I13" s="143">
        <f t="shared" si="2"/>
        <v>0</v>
      </c>
      <c r="J13" s="197">
        <f>G13/((1+'T3 Inputs'!$B$4)^(B13-2016))</f>
        <v>0</v>
      </c>
      <c r="K13" s="142">
        <f>H13/((1+'T3 Inputs'!$B$4)^(B13-2016))</f>
        <v>0</v>
      </c>
      <c r="L13" s="143">
        <f>I13/((1+'T3 Inputs'!$B$4)^(B13-2016))</f>
        <v>0</v>
      </c>
    </row>
    <row r="14" spans="1:12" ht="15" x14ac:dyDescent="0.25">
      <c r="A14" s="428">
        <f t="shared" si="4"/>
        <v>9</v>
      </c>
      <c r="B14" s="429">
        <f t="shared" si="3"/>
        <v>2028</v>
      </c>
      <c r="C14" s="142">
        <v>0</v>
      </c>
      <c r="D14" s="142">
        <v>0</v>
      </c>
      <c r="E14" s="142">
        <v>0</v>
      </c>
      <c r="F14" s="194">
        <v>0</v>
      </c>
      <c r="G14" s="201">
        <f t="shared" si="0"/>
        <v>0</v>
      </c>
      <c r="H14" s="142">
        <f t="shared" si="1"/>
        <v>0</v>
      </c>
      <c r="I14" s="143">
        <f t="shared" si="2"/>
        <v>0</v>
      </c>
      <c r="J14" s="197">
        <f>G14/((1+'T3 Inputs'!$B$4)^(B14-2016))</f>
        <v>0</v>
      </c>
      <c r="K14" s="142">
        <f>H14/((1+'T3 Inputs'!$B$4)^(B14-2016))</f>
        <v>0</v>
      </c>
      <c r="L14" s="143">
        <f>I14/((1+'T3 Inputs'!$B$4)^(B14-2016))</f>
        <v>0</v>
      </c>
    </row>
    <row r="15" spans="1:12" ht="15" x14ac:dyDescent="0.25">
      <c r="A15" s="428">
        <f t="shared" si="4"/>
        <v>10</v>
      </c>
      <c r="B15" s="429">
        <f t="shared" si="3"/>
        <v>2029</v>
      </c>
      <c r="C15" s="142">
        <v>0</v>
      </c>
      <c r="D15" s="142">
        <v>0</v>
      </c>
      <c r="E15" s="142">
        <v>0</v>
      </c>
      <c r="F15" s="194">
        <v>0</v>
      </c>
      <c r="G15" s="201">
        <f t="shared" si="0"/>
        <v>0</v>
      </c>
      <c r="H15" s="142">
        <f t="shared" si="1"/>
        <v>0</v>
      </c>
      <c r="I15" s="143">
        <f t="shared" si="2"/>
        <v>0</v>
      </c>
      <c r="J15" s="197">
        <f>G15/((1+'T3 Inputs'!$B$4)^(B15-2016))</f>
        <v>0</v>
      </c>
      <c r="K15" s="142">
        <f>H15/((1+'T3 Inputs'!$B$4)^(B15-2016))</f>
        <v>0</v>
      </c>
      <c r="L15" s="143">
        <f>I15/((1+'T3 Inputs'!$B$4)^(B15-2016))</f>
        <v>0</v>
      </c>
    </row>
    <row r="16" spans="1:12" ht="15" x14ac:dyDescent="0.25">
      <c r="A16" s="428">
        <f t="shared" si="4"/>
        <v>11</v>
      </c>
      <c r="B16" s="429">
        <f t="shared" si="3"/>
        <v>2030</v>
      </c>
      <c r="C16" s="142">
        <v>0</v>
      </c>
      <c r="D16" s="142">
        <v>0</v>
      </c>
      <c r="E16" s="142">
        <v>0</v>
      </c>
      <c r="F16" s="194">
        <v>0</v>
      </c>
      <c r="G16" s="201">
        <f t="shared" si="0"/>
        <v>0</v>
      </c>
      <c r="H16" s="142">
        <f t="shared" si="1"/>
        <v>0</v>
      </c>
      <c r="I16" s="143">
        <f t="shared" si="2"/>
        <v>0</v>
      </c>
      <c r="J16" s="197">
        <f>G16/((1+'T3 Inputs'!$B$4)^(B16-2016))</f>
        <v>0</v>
      </c>
      <c r="K16" s="142">
        <f>H16/((1+'T3 Inputs'!$B$4)^(B16-2016))</f>
        <v>0</v>
      </c>
      <c r="L16" s="143">
        <f>I16/((1+'T3 Inputs'!$B$4)^(B16-2016))</f>
        <v>0</v>
      </c>
    </row>
    <row r="17" spans="1:12" ht="15" x14ac:dyDescent="0.25">
      <c r="A17" s="428">
        <f t="shared" si="4"/>
        <v>12</v>
      </c>
      <c r="B17" s="429">
        <f t="shared" si="3"/>
        <v>2031</v>
      </c>
      <c r="C17" s="142">
        <v>0</v>
      </c>
      <c r="D17" s="142">
        <v>0</v>
      </c>
      <c r="E17" s="142">
        <v>0</v>
      </c>
      <c r="F17" s="194">
        <v>0</v>
      </c>
      <c r="G17" s="201">
        <f t="shared" si="0"/>
        <v>0</v>
      </c>
      <c r="H17" s="142">
        <f t="shared" si="1"/>
        <v>0</v>
      </c>
      <c r="I17" s="143">
        <f t="shared" si="2"/>
        <v>0</v>
      </c>
      <c r="J17" s="197">
        <f>G17/((1+'T3 Inputs'!$B$4)^(B17-2016))</f>
        <v>0</v>
      </c>
      <c r="K17" s="142">
        <f>H17/((1+'T3 Inputs'!$B$4)^(B17-2016))</f>
        <v>0</v>
      </c>
      <c r="L17" s="143">
        <f>I17/((1+'T3 Inputs'!$B$4)^(B17-2016))</f>
        <v>0</v>
      </c>
    </row>
    <row r="18" spans="1:12" ht="15" x14ac:dyDescent="0.25">
      <c r="A18" s="428">
        <f t="shared" si="4"/>
        <v>13</v>
      </c>
      <c r="B18" s="429">
        <f t="shared" si="3"/>
        <v>2032</v>
      </c>
      <c r="C18" s="142">
        <v>0</v>
      </c>
      <c r="D18" s="142">
        <v>0</v>
      </c>
      <c r="E18" s="142">
        <v>0</v>
      </c>
      <c r="F18" s="194">
        <v>0</v>
      </c>
      <c r="G18" s="201">
        <f t="shared" si="0"/>
        <v>0</v>
      </c>
      <c r="H18" s="142">
        <f t="shared" si="1"/>
        <v>0</v>
      </c>
      <c r="I18" s="143">
        <f t="shared" si="2"/>
        <v>0</v>
      </c>
      <c r="J18" s="197">
        <f>G18/((1+'T3 Inputs'!$B$4)^(B18-2016))</f>
        <v>0</v>
      </c>
      <c r="K18" s="142">
        <f>H18/((1+'T3 Inputs'!$B$4)^(B18-2016))</f>
        <v>0</v>
      </c>
      <c r="L18" s="143">
        <f>I18/((1+'T3 Inputs'!$B$4)^(B18-2016))</f>
        <v>0</v>
      </c>
    </row>
    <row r="19" spans="1:12" ht="15" x14ac:dyDescent="0.25">
      <c r="A19" s="428">
        <f t="shared" si="4"/>
        <v>14</v>
      </c>
      <c r="B19" s="429">
        <f t="shared" si="3"/>
        <v>2033</v>
      </c>
      <c r="C19" s="142">
        <v>0</v>
      </c>
      <c r="D19" s="142">
        <v>0</v>
      </c>
      <c r="E19" s="142">
        <v>0</v>
      </c>
      <c r="F19" s="194">
        <v>0</v>
      </c>
      <c r="G19" s="201">
        <f t="shared" si="0"/>
        <v>0</v>
      </c>
      <c r="H19" s="142">
        <f t="shared" si="1"/>
        <v>0</v>
      </c>
      <c r="I19" s="143">
        <f t="shared" si="2"/>
        <v>0</v>
      </c>
      <c r="J19" s="197">
        <f>G19/((1+'T3 Inputs'!$B$4)^(B19-2016))</f>
        <v>0</v>
      </c>
      <c r="K19" s="142">
        <f>H19/((1+'T3 Inputs'!$B$4)^(B19-2016))</f>
        <v>0</v>
      </c>
      <c r="L19" s="143">
        <f>I19/((1+'T3 Inputs'!$B$4)^(B19-2016))</f>
        <v>0</v>
      </c>
    </row>
    <row r="20" spans="1:12" ht="15" x14ac:dyDescent="0.25">
      <c r="A20" s="428">
        <f t="shared" si="4"/>
        <v>15</v>
      </c>
      <c r="B20" s="429">
        <f t="shared" si="3"/>
        <v>2034</v>
      </c>
      <c r="C20" s="142">
        <v>0</v>
      </c>
      <c r="D20" s="142">
        <v>0</v>
      </c>
      <c r="E20" s="142">
        <v>0</v>
      </c>
      <c r="F20" s="194">
        <v>0</v>
      </c>
      <c r="G20" s="201">
        <f t="shared" si="0"/>
        <v>0</v>
      </c>
      <c r="H20" s="142">
        <f t="shared" si="1"/>
        <v>0</v>
      </c>
      <c r="I20" s="143">
        <f t="shared" si="2"/>
        <v>0</v>
      </c>
      <c r="J20" s="197">
        <f>G20/((1+'T3 Inputs'!$B$4)^(B20-2016))</f>
        <v>0</v>
      </c>
      <c r="K20" s="142">
        <f>H20/((1+'T3 Inputs'!$B$4)^(B20-2016))</f>
        <v>0</v>
      </c>
      <c r="L20" s="143">
        <f>I20/((1+'T3 Inputs'!$B$4)^(B20-2016))</f>
        <v>0</v>
      </c>
    </row>
    <row r="21" spans="1:12" ht="15" x14ac:dyDescent="0.25">
      <c r="A21" s="428">
        <f t="shared" si="4"/>
        <v>16</v>
      </c>
      <c r="B21" s="429">
        <f t="shared" si="3"/>
        <v>2035</v>
      </c>
      <c r="C21" s="142">
        <v>0</v>
      </c>
      <c r="D21" s="142">
        <v>0</v>
      </c>
      <c r="E21" s="142">
        <v>0</v>
      </c>
      <c r="F21" s="194">
        <v>0</v>
      </c>
      <c r="G21" s="201">
        <f t="shared" si="0"/>
        <v>0</v>
      </c>
      <c r="H21" s="142">
        <f t="shared" si="1"/>
        <v>0</v>
      </c>
      <c r="I21" s="143">
        <f t="shared" si="2"/>
        <v>0</v>
      </c>
      <c r="J21" s="197">
        <f>G21/((1+'T3 Inputs'!$B$4)^(B21-2016))</f>
        <v>0</v>
      </c>
      <c r="K21" s="142">
        <f>H21/((1+'T3 Inputs'!$B$4)^(B21-2016))</f>
        <v>0</v>
      </c>
      <c r="L21" s="143">
        <f>I21/((1+'T3 Inputs'!$B$4)^(B21-2016))</f>
        <v>0</v>
      </c>
    </row>
    <row r="22" spans="1:12" ht="15" x14ac:dyDescent="0.25">
      <c r="A22" s="428">
        <f t="shared" si="4"/>
        <v>17</v>
      </c>
      <c r="B22" s="429">
        <f t="shared" si="3"/>
        <v>2036</v>
      </c>
      <c r="C22" s="142">
        <v>0</v>
      </c>
      <c r="D22" s="142">
        <v>0</v>
      </c>
      <c r="E22" s="142">
        <v>0</v>
      </c>
      <c r="F22" s="194">
        <v>0</v>
      </c>
      <c r="G22" s="201">
        <f t="shared" si="0"/>
        <v>0</v>
      </c>
      <c r="H22" s="142">
        <f t="shared" si="1"/>
        <v>0</v>
      </c>
      <c r="I22" s="143">
        <f t="shared" si="2"/>
        <v>0</v>
      </c>
      <c r="J22" s="197">
        <f>G22/((1+'T3 Inputs'!$B$4)^(B22-2016))</f>
        <v>0</v>
      </c>
      <c r="K22" s="142">
        <f>H22/((1+'T3 Inputs'!$B$4)^(B22-2016))</f>
        <v>0</v>
      </c>
      <c r="L22" s="143">
        <f>I22/((1+'T3 Inputs'!$B$4)^(B22-2016))</f>
        <v>0</v>
      </c>
    </row>
    <row r="23" spans="1:12" ht="15" x14ac:dyDescent="0.25">
      <c r="A23" s="428">
        <f t="shared" si="4"/>
        <v>18</v>
      </c>
      <c r="B23" s="429">
        <f t="shared" si="3"/>
        <v>2037</v>
      </c>
      <c r="C23" s="142">
        <v>0</v>
      </c>
      <c r="D23" s="142">
        <v>0</v>
      </c>
      <c r="E23" s="142">
        <v>0</v>
      </c>
      <c r="F23" s="194">
        <v>0</v>
      </c>
      <c r="G23" s="201">
        <f t="shared" si="0"/>
        <v>0</v>
      </c>
      <c r="H23" s="142">
        <f t="shared" si="1"/>
        <v>0</v>
      </c>
      <c r="I23" s="143">
        <f t="shared" si="2"/>
        <v>0</v>
      </c>
      <c r="J23" s="197">
        <f>G23/((1+'T3 Inputs'!$B$4)^(B23-2016))</f>
        <v>0</v>
      </c>
      <c r="K23" s="142">
        <f>H23/((1+'T3 Inputs'!$B$4)^(B23-2016))</f>
        <v>0</v>
      </c>
      <c r="L23" s="143">
        <f>I23/((1+'T3 Inputs'!$B$4)^(B23-2016))</f>
        <v>0</v>
      </c>
    </row>
    <row r="24" spans="1:12" ht="15" x14ac:dyDescent="0.25">
      <c r="A24" s="428">
        <f t="shared" si="4"/>
        <v>19</v>
      </c>
      <c r="B24" s="429">
        <f t="shared" si="3"/>
        <v>2038</v>
      </c>
      <c r="C24" s="142">
        <v>0</v>
      </c>
      <c r="D24" s="142">
        <v>0</v>
      </c>
      <c r="E24" s="142">
        <v>0</v>
      </c>
      <c r="F24" s="194">
        <v>0</v>
      </c>
      <c r="G24" s="201">
        <f t="shared" si="0"/>
        <v>0</v>
      </c>
      <c r="H24" s="142">
        <f t="shared" si="1"/>
        <v>0</v>
      </c>
      <c r="I24" s="143">
        <f t="shared" si="2"/>
        <v>0</v>
      </c>
      <c r="J24" s="197">
        <f>G24/((1+'T3 Inputs'!$B$4)^(B24-2016))</f>
        <v>0</v>
      </c>
      <c r="K24" s="142">
        <f>H24/((1+'T3 Inputs'!$B$4)^(B24-2016))</f>
        <v>0</v>
      </c>
      <c r="L24" s="143">
        <f>I24/((1+'T3 Inputs'!$B$4)^(B24-2016))</f>
        <v>0</v>
      </c>
    </row>
    <row r="25" spans="1:12" ht="15" x14ac:dyDescent="0.25">
      <c r="A25" s="428">
        <f t="shared" si="4"/>
        <v>20</v>
      </c>
      <c r="B25" s="429">
        <f t="shared" si="3"/>
        <v>2039</v>
      </c>
      <c r="C25" s="142">
        <v>0</v>
      </c>
      <c r="D25" s="142">
        <v>0</v>
      </c>
      <c r="E25" s="142">
        <v>0</v>
      </c>
      <c r="F25" s="194">
        <v>0</v>
      </c>
      <c r="G25" s="201">
        <f t="shared" si="0"/>
        <v>0</v>
      </c>
      <c r="H25" s="142">
        <f t="shared" si="1"/>
        <v>0</v>
      </c>
      <c r="I25" s="143">
        <f t="shared" si="2"/>
        <v>0</v>
      </c>
      <c r="J25" s="197">
        <f>G25/((1+'T3 Inputs'!$B$4)^(B25-2016))</f>
        <v>0</v>
      </c>
      <c r="K25" s="142">
        <f>H25/((1+'T3 Inputs'!$B$4)^(B25-2016))</f>
        <v>0</v>
      </c>
      <c r="L25" s="143">
        <f>I25/((1+'T3 Inputs'!$B$4)^(B25-2016))</f>
        <v>0</v>
      </c>
    </row>
    <row r="26" spans="1:12" ht="15" x14ac:dyDescent="0.25">
      <c r="A26" s="428">
        <f t="shared" si="4"/>
        <v>21</v>
      </c>
      <c r="B26" s="429">
        <f t="shared" si="3"/>
        <v>2040</v>
      </c>
      <c r="C26" s="142">
        <v>0</v>
      </c>
      <c r="D26" s="142">
        <v>0</v>
      </c>
      <c r="E26" s="142">
        <v>0</v>
      </c>
      <c r="F26" s="194">
        <v>0</v>
      </c>
      <c r="G26" s="201">
        <f t="shared" si="0"/>
        <v>0</v>
      </c>
      <c r="H26" s="142">
        <f t="shared" si="1"/>
        <v>0</v>
      </c>
      <c r="I26" s="143">
        <f t="shared" si="2"/>
        <v>0</v>
      </c>
      <c r="J26" s="197">
        <f>G26/((1+'T3 Inputs'!$B$4)^(B26-2016))</f>
        <v>0</v>
      </c>
      <c r="K26" s="142">
        <f>H26/((1+'T3 Inputs'!$B$4)^(B26-2016))</f>
        <v>0</v>
      </c>
      <c r="L26" s="143">
        <f>I26/((1+'T3 Inputs'!$B$4)^(B26-2016))</f>
        <v>0</v>
      </c>
    </row>
    <row r="27" spans="1:12" ht="15" x14ac:dyDescent="0.25">
      <c r="A27" s="428">
        <f t="shared" si="4"/>
        <v>22</v>
      </c>
      <c r="B27" s="429">
        <f t="shared" si="3"/>
        <v>2041</v>
      </c>
      <c r="C27" s="142">
        <v>0</v>
      </c>
      <c r="D27" s="142">
        <v>0</v>
      </c>
      <c r="E27" s="142">
        <v>0</v>
      </c>
      <c r="F27" s="194">
        <v>0</v>
      </c>
      <c r="G27" s="201">
        <f t="shared" si="0"/>
        <v>0</v>
      </c>
      <c r="H27" s="142">
        <f t="shared" si="1"/>
        <v>0</v>
      </c>
      <c r="I27" s="143">
        <f t="shared" si="2"/>
        <v>0</v>
      </c>
      <c r="J27" s="197">
        <f>G27/((1+'T3 Inputs'!$B$4)^(B27-2016))</f>
        <v>0</v>
      </c>
      <c r="K27" s="142">
        <f>H27/((1+'T3 Inputs'!$B$4)^(B27-2016))</f>
        <v>0</v>
      </c>
      <c r="L27" s="143">
        <f>I27/((1+'T3 Inputs'!$B$4)^(B27-2016))</f>
        <v>0</v>
      </c>
    </row>
    <row r="28" spans="1:12" ht="15" x14ac:dyDescent="0.25">
      <c r="A28" s="428">
        <f t="shared" si="4"/>
        <v>23</v>
      </c>
      <c r="B28" s="429">
        <f t="shared" si="3"/>
        <v>2042</v>
      </c>
      <c r="C28" s="142">
        <v>0</v>
      </c>
      <c r="D28" s="142">
        <v>0</v>
      </c>
      <c r="E28" s="142">
        <v>0</v>
      </c>
      <c r="F28" s="194">
        <v>0</v>
      </c>
      <c r="G28" s="201">
        <f t="shared" si="0"/>
        <v>0</v>
      </c>
      <c r="H28" s="142">
        <f t="shared" si="1"/>
        <v>0</v>
      </c>
      <c r="I28" s="143">
        <f t="shared" si="2"/>
        <v>0</v>
      </c>
      <c r="J28" s="197">
        <f>G28/((1+'T3 Inputs'!$B$4)^(B28-2016))</f>
        <v>0</v>
      </c>
      <c r="K28" s="142">
        <f>H28/((1+'T3 Inputs'!$B$4)^(B28-2016))</f>
        <v>0</v>
      </c>
      <c r="L28" s="143">
        <f>I28/((1+'T3 Inputs'!$B$4)^(B28-2016))</f>
        <v>0</v>
      </c>
    </row>
    <row r="29" spans="1:12" ht="15" x14ac:dyDescent="0.25">
      <c r="A29" s="428">
        <f t="shared" si="4"/>
        <v>24</v>
      </c>
      <c r="B29" s="429">
        <f t="shared" si="3"/>
        <v>2043</v>
      </c>
      <c r="C29" s="142">
        <v>0</v>
      </c>
      <c r="D29" s="142">
        <v>0</v>
      </c>
      <c r="E29" s="142">
        <v>0</v>
      </c>
      <c r="F29" s="194">
        <v>0</v>
      </c>
      <c r="G29" s="201">
        <f t="shared" si="0"/>
        <v>0</v>
      </c>
      <c r="H29" s="142">
        <f t="shared" si="1"/>
        <v>0</v>
      </c>
      <c r="I29" s="143">
        <f t="shared" si="2"/>
        <v>0</v>
      </c>
      <c r="J29" s="197">
        <f>G29/((1+'T3 Inputs'!$B$4)^(B29-2016))</f>
        <v>0</v>
      </c>
      <c r="K29" s="142">
        <f>H29/((1+'T3 Inputs'!$B$4)^(B29-2016))</f>
        <v>0</v>
      </c>
      <c r="L29" s="143">
        <f>I29/((1+'T3 Inputs'!$B$4)^(B29-2016))</f>
        <v>0</v>
      </c>
    </row>
    <row r="30" spans="1:12" ht="15" x14ac:dyDescent="0.25">
      <c r="A30" s="428">
        <f t="shared" si="4"/>
        <v>25</v>
      </c>
      <c r="B30" s="429">
        <f t="shared" si="3"/>
        <v>2044</v>
      </c>
      <c r="C30" s="142">
        <v>0</v>
      </c>
      <c r="D30" s="142">
        <v>0</v>
      </c>
      <c r="E30" s="142">
        <v>0</v>
      </c>
      <c r="F30" s="194">
        <v>0</v>
      </c>
      <c r="G30" s="201">
        <f t="shared" si="0"/>
        <v>0</v>
      </c>
      <c r="H30" s="142">
        <f t="shared" si="1"/>
        <v>0</v>
      </c>
      <c r="I30" s="143">
        <f t="shared" si="2"/>
        <v>0</v>
      </c>
      <c r="J30" s="197">
        <f>G30/((1+'T3 Inputs'!$B$4)^(B30-2016))</f>
        <v>0</v>
      </c>
      <c r="K30" s="142">
        <f>H30/((1+'T3 Inputs'!$B$4)^(B30-2016))</f>
        <v>0</v>
      </c>
      <c r="L30" s="143">
        <f>I30/((1+'T3 Inputs'!$B$4)^(B30-2016))</f>
        <v>0</v>
      </c>
    </row>
    <row r="31" spans="1:12" ht="15" x14ac:dyDescent="0.25">
      <c r="A31" s="428">
        <f t="shared" si="4"/>
        <v>26</v>
      </c>
      <c r="B31" s="429">
        <f t="shared" si="3"/>
        <v>2045</v>
      </c>
      <c r="C31" s="142">
        <v>0</v>
      </c>
      <c r="D31" s="142">
        <v>0</v>
      </c>
      <c r="E31" s="142">
        <v>0</v>
      </c>
      <c r="F31" s="194">
        <v>0</v>
      </c>
      <c r="G31" s="201">
        <f t="shared" si="0"/>
        <v>0</v>
      </c>
      <c r="H31" s="142">
        <f t="shared" si="1"/>
        <v>0</v>
      </c>
      <c r="I31" s="143">
        <f t="shared" si="2"/>
        <v>0</v>
      </c>
      <c r="J31" s="197">
        <f>G31/((1+'T3 Inputs'!$B$4)^(B31-2016))</f>
        <v>0</v>
      </c>
      <c r="K31" s="142">
        <f>H31/((1+'T3 Inputs'!$B$4)^(B31-2016))</f>
        <v>0</v>
      </c>
      <c r="L31" s="143">
        <f>I31/((1+'T3 Inputs'!$B$4)^(B31-2016))</f>
        <v>0</v>
      </c>
    </row>
    <row r="32" spans="1:12" ht="15" x14ac:dyDescent="0.25">
      <c r="A32" s="428">
        <f t="shared" si="4"/>
        <v>27</v>
      </c>
      <c r="B32" s="429">
        <f t="shared" si="3"/>
        <v>2046</v>
      </c>
      <c r="C32" s="142">
        <v>0</v>
      </c>
      <c r="D32" s="142">
        <v>0</v>
      </c>
      <c r="E32" s="142">
        <v>0</v>
      </c>
      <c r="F32" s="194">
        <v>0</v>
      </c>
      <c r="G32" s="201">
        <f t="shared" si="0"/>
        <v>0</v>
      </c>
      <c r="H32" s="142">
        <f t="shared" si="1"/>
        <v>0</v>
      </c>
      <c r="I32" s="143">
        <f t="shared" si="2"/>
        <v>0</v>
      </c>
      <c r="J32" s="197">
        <f>G32/((1+'T3 Inputs'!$B$4)^(B32-2016))</f>
        <v>0</v>
      </c>
      <c r="K32" s="142">
        <f>H32/((1+'T3 Inputs'!$B$4)^(B32-2016))</f>
        <v>0</v>
      </c>
      <c r="L32" s="143">
        <f>I32/((1+'T3 Inputs'!$B$4)^(B32-2016))</f>
        <v>0</v>
      </c>
    </row>
    <row r="33" spans="1:12" ht="15" x14ac:dyDescent="0.25">
      <c r="A33" s="428">
        <f t="shared" si="4"/>
        <v>28</v>
      </c>
      <c r="B33" s="429">
        <f t="shared" si="3"/>
        <v>2047</v>
      </c>
      <c r="C33" s="142">
        <v>0</v>
      </c>
      <c r="D33" s="142">
        <v>0</v>
      </c>
      <c r="E33" s="142">
        <v>0</v>
      </c>
      <c r="F33" s="194">
        <v>0</v>
      </c>
      <c r="G33" s="201">
        <f t="shared" si="0"/>
        <v>0</v>
      </c>
      <c r="H33" s="142">
        <f t="shared" si="1"/>
        <v>0</v>
      </c>
      <c r="I33" s="143">
        <f t="shared" si="2"/>
        <v>0</v>
      </c>
      <c r="J33" s="197">
        <f>G33/((1+'T3 Inputs'!$B$4)^(B33-2016))</f>
        <v>0</v>
      </c>
      <c r="K33" s="142">
        <f>H33/((1+'T3 Inputs'!$B$4)^(B33-2016))</f>
        <v>0</v>
      </c>
      <c r="L33" s="143">
        <f>I33/((1+'T3 Inputs'!$B$4)^(B33-2016))</f>
        <v>0</v>
      </c>
    </row>
    <row r="34" spans="1:12" ht="15" x14ac:dyDescent="0.25">
      <c r="A34" s="428">
        <f t="shared" si="4"/>
        <v>29</v>
      </c>
      <c r="B34" s="429">
        <f t="shared" si="3"/>
        <v>2048</v>
      </c>
      <c r="C34" s="142">
        <v>0</v>
      </c>
      <c r="D34" s="142">
        <v>0</v>
      </c>
      <c r="E34" s="142">
        <v>0</v>
      </c>
      <c r="F34" s="194">
        <v>0</v>
      </c>
      <c r="G34" s="201">
        <f t="shared" si="0"/>
        <v>0</v>
      </c>
      <c r="H34" s="142">
        <f t="shared" si="1"/>
        <v>0</v>
      </c>
      <c r="I34" s="143">
        <f t="shared" si="2"/>
        <v>0</v>
      </c>
      <c r="J34" s="197">
        <f>G34/((1+'T3 Inputs'!$B$4)^(B34-2016))</f>
        <v>0</v>
      </c>
      <c r="K34" s="142">
        <f>H34/((1+'T3 Inputs'!$B$4)^(B34-2016))</f>
        <v>0</v>
      </c>
      <c r="L34" s="143">
        <f>I34/((1+'T3 Inputs'!$B$4)^(B34-2016))</f>
        <v>0</v>
      </c>
    </row>
    <row r="35" spans="1:12" ht="15" x14ac:dyDescent="0.25">
      <c r="A35" s="428">
        <f t="shared" si="4"/>
        <v>30</v>
      </c>
      <c r="B35" s="429">
        <f t="shared" si="3"/>
        <v>2049</v>
      </c>
      <c r="C35" s="142">
        <v>0</v>
      </c>
      <c r="D35" s="142">
        <v>0</v>
      </c>
      <c r="E35" s="142">
        <v>0</v>
      </c>
      <c r="F35" s="194">
        <v>0</v>
      </c>
      <c r="G35" s="201">
        <f t="shared" si="0"/>
        <v>0</v>
      </c>
      <c r="H35" s="142">
        <f t="shared" si="1"/>
        <v>0</v>
      </c>
      <c r="I35" s="143">
        <f t="shared" si="2"/>
        <v>0</v>
      </c>
      <c r="J35" s="197">
        <f>G35/((1+'T3 Inputs'!$B$4)^(B35-2016))</f>
        <v>0</v>
      </c>
      <c r="K35" s="142">
        <f>H35/((1+'T3 Inputs'!$B$4)^(B35-2016))</f>
        <v>0</v>
      </c>
      <c r="L35" s="143">
        <f>I35/((1+'T3 Inputs'!$B$4)^(B35-2016))</f>
        <v>0</v>
      </c>
    </row>
    <row r="36" spans="1:12" s="147" customFormat="1" ht="15" thickBot="1" x14ac:dyDescent="0.25">
      <c r="A36" s="630" t="s">
        <v>0</v>
      </c>
      <c r="B36" s="631"/>
      <c r="C36" s="149">
        <f t="shared" ref="C36:K36" si="5">SUM(C3:C35)</f>
        <v>1073400</v>
      </c>
      <c r="D36" s="149">
        <f t="shared" si="5"/>
        <v>2042000</v>
      </c>
      <c r="E36" s="149">
        <f t="shared" si="5"/>
        <v>11957000</v>
      </c>
      <c r="F36" s="195">
        <f t="shared" si="5"/>
        <v>22562000</v>
      </c>
      <c r="G36" s="202">
        <f t="shared" si="5"/>
        <v>13030400</v>
      </c>
      <c r="H36" s="149">
        <f t="shared" si="5"/>
        <v>24604000</v>
      </c>
      <c r="I36" s="150">
        <f>SUM(I3:I35)</f>
        <v>37634400</v>
      </c>
      <c r="J36" s="198">
        <f t="shared" si="5"/>
        <v>10673488.848962853</v>
      </c>
      <c r="K36" s="149">
        <f t="shared" si="5"/>
        <v>20769927.863756619</v>
      </c>
      <c r="L36" s="150">
        <f>SUM(L3:L35)</f>
        <v>31443416.71271947</v>
      </c>
    </row>
    <row r="37" spans="1:12" ht="13.5" thickBot="1" x14ac:dyDescent="0.25"/>
    <row r="38" spans="1:12" ht="14.25" x14ac:dyDescent="0.2">
      <c r="A38" s="632" t="s">
        <v>130</v>
      </c>
      <c r="B38" s="634" t="s">
        <v>2</v>
      </c>
      <c r="C38" s="636" t="s">
        <v>233</v>
      </c>
      <c r="D38" s="637"/>
      <c r="E38" s="636" t="s">
        <v>234</v>
      </c>
      <c r="F38" s="638"/>
      <c r="G38" s="639" t="s">
        <v>239</v>
      </c>
      <c r="H38" s="640"/>
      <c r="I38" s="641"/>
      <c r="J38" s="627" t="s">
        <v>272</v>
      </c>
      <c r="K38" s="628"/>
      <c r="L38" s="629"/>
    </row>
    <row r="39" spans="1:12" ht="28.5" x14ac:dyDescent="0.2">
      <c r="A39" s="633"/>
      <c r="B39" s="635"/>
      <c r="C39" s="144" t="s">
        <v>123</v>
      </c>
      <c r="D39" s="144" t="s">
        <v>235</v>
      </c>
      <c r="E39" s="144" t="s">
        <v>236</v>
      </c>
      <c r="F39" s="193" t="s">
        <v>237</v>
      </c>
      <c r="G39" s="199" t="s">
        <v>123</v>
      </c>
      <c r="H39" s="144" t="s">
        <v>237</v>
      </c>
      <c r="I39" s="200" t="s">
        <v>238</v>
      </c>
      <c r="J39" s="196" t="s">
        <v>123</v>
      </c>
      <c r="K39" s="145" t="s">
        <v>237</v>
      </c>
      <c r="L39" s="146" t="s">
        <v>238</v>
      </c>
    </row>
    <row r="40" spans="1:12" ht="15" x14ac:dyDescent="0.2">
      <c r="A40" s="420">
        <f>A41-1</f>
        <v>-2</v>
      </c>
      <c r="B40" s="421">
        <f>B41-1</f>
        <v>2017</v>
      </c>
      <c r="C40" s="423">
        <f>ROUND(C3,-3)</f>
        <v>0</v>
      </c>
      <c r="D40" s="423">
        <f t="shared" ref="D40:L40" si="6">ROUND(D3,-3)</f>
        <v>823000</v>
      </c>
      <c r="E40" s="423">
        <f t="shared" si="6"/>
        <v>0</v>
      </c>
      <c r="F40" s="426">
        <f t="shared" si="6"/>
        <v>0</v>
      </c>
      <c r="G40" s="427">
        <f t="shared" si="6"/>
        <v>0</v>
      </c>
      <c r="H40" s="423">
        <f t="shared" si="6"/>
        <v>823000</v>
      </c>
      <c r="I40" s="424">
        <f t="shared" si="6"/>
        <v>823000</v>
      </c>
      <c r="J40" s="422">
        <f t="shared" si="6"/>
        <v>0</v>
      </c>
      <c r="K40" s="423">
        <f t="shared" si="6"/>
        <v>769000</v>
      </c>
      <c r="L40" s="424">
        <f t="shared" si="6"/>
        <v>769000</v>
      </c>
    </row>
    <row r="41" spans="1:12" ht="15" x14ac:dyDescent="0.25">
      <c r="A41" s="428">
        <v>-1</v>
      </c>
      <c r="B41" s="429">
        <v>2018</v>
      </c>
      <c r="C41" s="142">
        <f t="shared" ref="C41:L41" si="7">ROUND(C4,-3)</f>
        <v>644000</v>
      </c>
      <c r="D41" s="142">
        <f t="shared" si="7"/>
        <v>1219000</v>
      </c>
      <c r="E41" s="142">
        <f t="shared" si="7"/>
        <v>0</v>
      </c>
      <c r="F41" s="194">
        <f t="shared" si="7"/>
        <v>9079000</v>
      </c>
      <c r="G41" s="201">
        <f t="shared" si="7"/>
        <v>644000</v>
      </c>
      <c r="H41" s="142">
        <f t="shared" si="7"/>
        <v>10298000</v>
      </c>
      <c r="I41" s="143">
        <f t="shared" si="7"/>
        <v>10942000</v>
      </c>
      <c r="J41" s="197">
        <f t="shared" si="7"/>
        <v>563000</v>
      </c>
      <c r="K41" s="142">
        <f t="shared" si="7"/>
        <v>8995000</v>
      </c>
      <c r="L41" s="143">
        <f t="shared" si="7"/>
        <v>9557000</v>
      </c>
    </row>
    <row r="42" spans="1:12" ht="15" x14ac:dyDescent="0.25">
      <c r="A42" s="428">
        <v>0</v>
      </c>
      <c r="B42" s="429">
        <f t="shared" ref="B42:B72" si="8">B41+1</f>
        <v>2019</v>
      </c>
      <c r="C42" s="142">
        <f t="shared" ref="C42:L42" si="9">ROUND(C5,-3)</f>
        <v>429000</v>
      </c>
      <c r="D42" s="142">
        <f t="shared" si="9"/>
        <v>0</v>
      </c>
      <c r="E42" s="142">
        <f t="shared" si="9"/>
        <v>11957000</v>
      </c>
      <c r="F42" s="194">
        <f t="shared" si="9"/>
        <v>13483000</v>
      </c>
      <c r="G42" s="201">
        <f t="shared" si="9"/>
        <v>12386000</v>
      </c>
      <c r="H42" s="142">
        <f t="shared" si="9"/>
        <v>13483000</v>
      </c>
      <c r="I42" s="143">
        <f t="shared" si="9"/>
        <v>25870000</v>
      </c>
      <c r="J42" s="197">
        <f t="shared" si="9"/>
        <v>10111000</v>
      </c>
      <c r="K42" s="142">
        <f t="shared" si="9"/>
        <v>11006000</v>
      </c>
      <c r="L42" s="143">
        <f t="shared" si="9"/>
        <v>21117000</v>
      </c>
    </row>
    <row r="43" spans="1:12" ht="15" x14ac:dyDescent="0.25">
      <c r="A43" s="428">
        <f t="shared" ref="A43:A72" si="10">A42+1</f>
        <v>1</v>
      </c>
      <c r="B43" s="429">
        <f t="shared" si="8"/>
        <v>2020</v>
      </c>
      <c r="C43" s="142">
        <f t="shared" ref="C43:L43" si="11">ROUND(C6,-3)</f>
        <v>0</v>
      </c>
      <c r="D43" s="142">
        <f t="shared" si="11"/>
        <v>0</v>
      </c>
      <c r="E43" s="142">
        <f t="shared" si="11"/>
        <v>0</v>
      </c>
      <c r="F43" s="194">
        <f t="shared" si="11"/>
        <v>0</v>
      </c>
      <c r="G43" s="201">
        <f t="shared" si="11"/>
        <v>0</v>
      </c>
      <c r="H43" s="142">
        <f t="shared" si="11"/>
        <v>0</v>
      </c>
      <c r="I43" s="143">
        <f t="shared" si="11"/>
        <v>0</v>
      </c>
      <c r="J43" s="197">
        <f t="shared" si="11"/>
        <v>0</v>
      </c>
      <c r="K43" s="142">
        <f t="shared" si="11"/>
        <v>0</v>
      </c>
      <c r="L43" s="143">
        <f t="shared" si="11"/>
        <v>0</v>
      </c>
    </row>
    <row r="44" spans="1:12" ht="15" x14ac:dyDescent="0.25">
      <c r="A44" s="428">
        <f t="shared" si="10"/>
        <v>2</v>
      </c>
      <c r="B44" s="429">
        <f t="shared" si="8"/>
        <v>2021</v>
      </c>
      <c r="C44" s="142">
        <f t="shared" ref="C44:L44" si="12">ROUND(C7,-3)</f>
        <v>0</v>
      </c>
      <c r="D44" s="142">
        <f t="shared" si="12"/>
        <v>0</v>
      </c>
      <c r="E44" s="142">
        <f t="shared" si="12"/>
        <v>0</v>
      </c>
      <c r="F44" s="194">
        <f t="shared" si="12"/>
        <v>0</v>
      </c>
      <c r="G44" s="201">
        <f t="shared" si="12"/>
        <v>0</v>
      </c>
      <c r="H44" s="142">
        <f t="shared" si="12"/>
        <v>0</v>
      </c>
      <c r="I44" s="143">
        <f t="shared" si="12"/>
        <v>0</v>
      </c>
      <c r="J44" s="197">
        <f t="shared" si="12"/>
        <v>0</v>
      </c>
      <c r="K44" s="142">
        <f t="shared" si="12"/>
        <v>0</v>
      </c>
      <c r="L44" s="143">
        <f t="shared" si="12"/>
        <v>0</v>
      </c>
    </row>
    <row r="45" spans="1:12" ht="15" x14ac:dyDescent="0.25">
      <c r="A45" s="428">
        <f t="shared" si="10"/>
        <v>3</v>
      </c>
      <c r="B45" s="429">
        <f t="shared" si="8"/>
        <v>2022</v>
      </c>
      <c r="C45" s="142">
        <f t="shared" ref="C45:L45" si="13">ROUND(C8,-3)</f>
        <v>0</v>
      </c>
      <c r="D45" s="142">
        <f t="shared" si="13"/>
        <v>0</v>
      </c>
      <c r="E45" s="142">
        <f t="shared" si="13"/>
        <v>0</v>
      </c>
      <c r="F45" s="194">
        <f t="shared" si="13"/>
        <v>0</v>
      </c>
      <c r="G45" s="201">
        <f t="shared" si="13"/>
        <v>0</v>
      </c>
      <c r="H45" s="142">
        <f t="shared" si="13"/>
        <v>0</v>
      </c>
      <c r="I45" s="143">
        <f t="shared" si="13"/>
        <v>0</v>
      </c>
      <c r="J45" s="197">
        <f t="shared" si="13"/>
        <v>0</v>
      </c>
      <c r="K45" s="142">
        <f t="shared" si="13"/>
        <v>0</v>
      </c>
      <c r="L45" s="143">
        <f t="shared" si="13"/>
        <v>0</v>
      </c>
    </row>
    <row r="46" spans="1:12" ht="15" x14ac:dyDescent="0.25">
      <c r="A46" s="428">
        <f t="shared" si="10"/>
        <v>4</v>
      </c>
      <c r="B46" s="429">
        <f t="shared" si="8"/>
        <v>2023</v>
      </c>
      <c r="C46" s="142">
        <f t="shared" ref="C46:L46" si="14">ROUND(C9,-3)</f>
        <v>0</v>
      </c>
      <c r="D46" s="142">
        <f t="shared" si="14"/>
        <v>0</v>
      </c>
      <c r="E46" s="142">
        <f t="shared" si="14"/>
        <v>0</v>
      </c>
      <c r="F46" s="194">
        <f t="shared" si="14"/>
        <v>0</v>
      </c>
      <c r="G46" s="201">
        <f t="shared" si="14"/>
        <v>0</v>
      </c>
      <c r="H46" s="142">
        <f t="shared" si="14"/>
        <v>0</v>
      </c>
      <c r="I46" s="143">
        <f t="shared" si="14"/>
        <v>0</v>
      </c>
      <c r="J46" s="197">
        <f t="shared" si="14"/>
        <v>0</v>
      </c>
      <c r="K46" s="142">
        <f t="shared" si="14"/>
        <v>0</v>
      </c>
      <c r="L46" s="143">
        <f t="shared" si="14"/>
        <v>0</v>
      </c>
    </row>
    <row r="47" spans="1:12" ht="15" x14ac:dyDescent="0.25">
      <c r="A47" s="428">
        <f t="shared" si="10"/>
        <v>5</v>
      </c>
      <c r="B47" s="429">
        <f t="shared" si="8"/>
        <v>2024</v>
      </c>
      <c r="C47" s="142">
        <f t="shared" ref="C47:L47" si="15">ROUND(C10,-3)</f>
        <v>0</v>
      </c>
      <c r="D47" s="142">
        <f t="shared" si="15"/>
        <v>0</v>
      </c>
      <c r="E47" s="142">
        <f t="shared" si="15"/>
        <v>0</v>
      </c>
      <c r="F47" s="194">
        <f t="shared" si="15"/>
        <v>0</v>
      </c>
      <c r="G47" s="201">
        <f t="shared" si="15"/>
        <v>0</v>
      </c>
      <c r="H47" s="142">
        <f t="shared" si="15"/>
        <v>0</v>
      </c>
      <c r="I47" s="143">
        <f t="shared" si="15"/>
        <v>0</v>
      </c>
      <c r="J47" s="197">
        <f t="shared" si="15"/>
        <v>0</v>
      </c>
      <c r="K47" s="142">
        <f t="shared" si="15"/>
        <v>0</v>
      </c>
      <c r="L47" s="143">
        <f t="shared" si="15"/>
        <v>0</v>
      </c>
    </row>
    <row r="48" spans="1:12" ht="15" x14ac:dyDescent="0.25">
      <c r="A48" s="428">
        <f t="shared" si="10"/>
        <v>6</v>
      </c>
      <c r="B48" s="429">
        <f t="shared" si="8"/>
        <v>2025</v>
      </c>
      <c r="C48" s="142">
        <f t="shared" ref="C48:L48" si="16">ROUND(C11,-3)</f>
        <v>0</v>
      </c>
      <c r="D48" s="142">
        <f t="shared" si="16"/>
        <v>0</v>
      </c>
      <c r="E48" s="142">
        <f t="shared" si="16"/>
        <v>0</v>
      </c>
      <c r="F48" s="194">
        <f t="shared" si="16"/>
        <v>0</v>
      </c>
      <c r="G48" s="201">
        <f t="shared" si="16"/>
        <v>0</v>
      </c>
      <c r="H48" s="142">
        <f t="shared" si="16"/>
        <v>0</v>
      </c>
      <c r="I48" s="143">
        <f t="shared" si="16"/>
        <v>0</v>
      </c>
      <c r="J48" s="197">
        <f t="shared" si="16"/>
        <v>0</v>
      </c>
      <c r="K48" s="142">
        <f t="shared" si="16"/>
        <v>0</v>
      </c>
      <c r="L48" s="143">
        <f t="shared" si="16"/>
        <v>0</v>
      </c>
    </row>
    <row r="49" spans="1:12" ht="15" x14ac:dyDescent="0.25">
      <c r="A49" s="428">
        <f t="shared" si="10"/>
        <v>7</v>
      </c>
      <c r="B49" s="429">
        <f t="shared" si="8"/>
        <v>2026</v>
      </c>
      <c r="C49" s="142">
        <f t="shared" ref="C49:L49" si="17">ROUND(C12,-3)</f>
        <v>0</v>
      </c>
      <c r="D49" s="142">
        <f t="shared" si="17"/>
        <v>0</v>
      </c>
      <c r="E49" s="142">
        <f t="shared" si="17"/>
        <v>0</v>
      </c>
      <c r="F49" s="194">
        <f t="shared" si="17"/>
        <v>0</v>
      </c>
      <c r="G49" s="201">
        <f t="shared" si="17"/>
        <v>0</v>
      </c>
      <c r="H49" s="142">
        <f t="shared" si="17"/>
        <v>0</v>
      </c>
      <c r="I49" s="143">
        <f t="shared" si="17"/>
        <v>0</v>
      </c>
      <c r="J49" s="197">
        <f t="shared" si="17"/>
        <v>0</v>
      </c>
      <c r="K49" s="142">
        <f t="shared" si="17"/>
        <v>0</v>
      </c>
      <c r="L49" s="143">
        <f t="shared" si="17"/>
        <v>0</v>
      </c>
    </row>
    <row r="50" spans="1:12" ht="15" x14ac:dyDescent="0.25">
      <c r="A50" s="428">
        <f t="shared" si="10"/>
        <v>8</v>
      </c>
      <c r="B50" s="429">
        <f t="shared" si="8"/>
        <v>2027</v>
      </c>
      <c r="C50" s="142">
        <f t="shared" ref="C50:L50" si="18">ROUND(C13,-3)</f>
        <v>0</v>
      </c>
      <c r="D50" s="142">
        <f t="shared" si="18"/>
        <v>0</v>
      </c>
      <c r="E50" s="142">
        <f t="shared" si="18"/>
        <v>0</v>
      </c>
      <c r="F50" s="194">
        <f t="shared" si="18"/>
        <v>0</v>
      </c>
      <c r="G50" s="201">
        <f t="shared" si="18"/>
        <v>0</v>
      </c>
      <c r="H50" s="142">
        <f t="shared" si="18"/>
        <v>0</v>
      </c>
      <c r="I50" s="143">
        <f t="shared" si="18"/>
        <v>0</v>
      </c>
      <c r="J50" s="197">
        <f t="shared" si="18"/>
        <v>0</v>
      </c>
      <c r="K50" s="142">
        <f t="shared" si="18"/>
        <v>0</v>
      </c>
      <c r="L50" s="143">
        <f t="shared" si="18"/>
        <v>0</v>
      </c>
    </row>
    <row r="51" spans="1:12" ht="15" x14ac:dyDescent="0.25">
      <c r="A51" s="428">
        <f t="shared" si="10"/>
        <v>9</v>
      </c>
      <c r="B51" s="429">
        <f t="shared" si="8"/>
        <v>2028</v>
      </c>
      <c r="C51" s="142">
        <f t="shared" ref="C51:L51" si="19">ROUND(C14,-3)</f>
        <v>0</v>
      </c>
      <c r="D51" s="142">
        <f t="shared" si="19"/>
        <v>0</v>
      </c>
      <c r="E51" s="142">
        <f t="shared" si="19"/>
        <v>0</v>
      </c>
      <c r="F51" s="194">
        <f t="shared" si="19"/>
        <v>0</v>
      </c>
      <c r="G51" s="201">
        <f t="shared" si="19"/>
        <v>0</v>
      </c>
      <c r="H51" s="142">
        <f t="shared" si="19"/>
        <v>0</v>
      </c>
      <c r="I51" s="143">
        <f t="shared" si="19"/>
        <v>0</v>
      </c>
      <c r="J51" s="197">
        <f t="shared" si="19"/>
        <v>0</v>
      </c>
      <c r="K51" s="142">
        <f t="shared" si="19"/>
        <v>0</v>
      </c>
      <c r="L51" s="143">
        <f t="shared" si="19"/>
        <v>0</v>
      </c>
    </row>
    <row r="52" spans="1:12" ht="15" x14ac:dyDescent="0.25">
      <c r="A52" s="428">
        <f t="shared" si="10"/>
        <v>10</v>
      </c>
      <c r="B52" s="429">
        <f t="shared" si="8"/>
        <v>2029</v>
      </c>
      <c r="C52" s="142">
        <f t="shared" ref="C52:L52" si="20">ROUND(C15,-3)</f>
        <v>0</v>
      </c>
      <c r="D52" s="142">
        <f t="shared" si="20"/>
        <v>0</v>
      </c>
      <c r="E52" s="142">
        <f t="shared" si="20"/>
        <v>0</v>
      </c>
      <c r="F52" s="194">
        <f t="shared" si="20"/>
        <v>0</v>
      </c>
      <c r="G52" s="201">
        <f t="shared" si="20"/>
        <v>0</v>
      </c>
      <c r="H52" s="142">
        <f t="shared" si="20"/>
        <v>0</v>
      </c>
      <c r="I52" s="143">
        <f t="shared" si="20"/>
        <v>0</v>
      </c>
      <c r="J52" s="197">
        <f t="shared" si="20"/>
        <v>0</v>
      </c>
      <c r="K52" s="142">
        <f t="shared" si="20"/>
        <v>0</v>
      </c>
      <c r="L52" s="143">
        <f t="shared" si="20"/>
        <v>0</v>
      </c>
    </row>
    <row r="53" spans="1:12" ht="15" x14ac:dyDescent="0.25">
      <c r="A53" s="428">
        <f t="shared" si="10"/>
        <v>11</v>
      </c>
      <c r="B53" s="429">
        <f t="shared" si="8"/>
        <v>2030</v>
      </c>
      <c r="C53" s="142">
        <f t="shared" ref="C53:L53" si="21">ROUND(C16,-3)</f>
        <v>0</v>
      </c>
      <c r="D53" s="142">
        <f t="shared" si="21"/>
        <v>0</v>
      </c>
      <c r="E53" s="142">
        <f t="shared" si="21"/>
        <v>0</v>
      </c>
      <c r="F53" s="194">
        <f t="shared" si="21"/>
        <v>0</v>
      </c>
      <c r="G53" s="201">
        <f t="shared" si="21"/>
        <v>0</v>
      </c>
      <c r="H53" s="142">
        <f t="shared" si="21"/>
        <v>0</v>
      </c>
      <c r="I53" s="143">
        <f t="shared" si="21"/>
        <v>0</v>
      </c>
      <c r="J53" s="197">
        <f t="shared" si="21"/>
        <v>0</v>
      </c>
      <c r="K53" s="142">
        <f t="shared" si="21"/>
        <v>0</v>
      </c>
      <c r="L53" s="143">
        <f t="shared" si="21"/>
        <v>0</v>
      </c>
    </row>
    <row r="54" spans="1:12" ht="15" x14ac:dyDescent="0.25">
      <c r="A54" s="428">
        <f t="shared" si="10"/>
        <v>12</v>
      </c>
      <c r="B54" s="429">
        <f t="shared" si="8"/>
        <v>2031</v>
      </c>
      <c r="C54" s="142">
        <f t="shared" ref="C54:L54" si="22">ROUND(C17,-3)</f>
        <v>0</v>
      </c>
      <c r="D54" s="142">
        <f t="shared" si="22"/>
        <v>0</v>
      </c>
      <c r="E54" s="142">
        <f t="shared" si="22"/>
        <v>0</v>
      </c>
      <c r="F54" s="194">
        <f t="shared" si="22"/>
        <v>0</v>
      </c>
      <c r="G54" s="201">
        <f t="shared" si="22"/>
        <v>0</v>
      </c>
      <c r="H54" s="142">
        <f t="shared" si="22"/>
        <v>0</v>
      </c>
      <c r="I54" s="143">
        <f t="shared" si="22"/>
        <v>0</v>
      </c>
      <c r="J54" s="197">
        <f t="shared" si="22"/>
        <v>0</v>
      </c>
      <c r="K54" s="142">
        <f t="shared" si="22"/>
        <v>0</v>
      </c>
      <c r="L54" s="143">
        <f t="shared" si="22"/>
        <v>0</v>
      </c>
    </row>
    <row r="55" spans="1:12" ht="15" x14ac:dyDescent="0.25">
      <c r="A55" s="428">
        <f t="shared" si="10"/>
        <v>13</v>
      </c>
      <c r="B55" s="429">
        <f t="shared" si="8"/>
        <v>2032</v>
      </c>
      <c r="C55" s="142">
        <f t="shared" ref="C55:L55" si="23">ROUND(C18,-3)</f>
        <v>0</v>
      </c>
      <c r="D55" s="142">
        <f t="shared" si="23"/>
        <v>0</v>
      </c>
      <c r="E55" s="142">
        <f t="shared" si="23"/>
        <v>0</v>
      </c>
      <c r="F55" s="194">
        <f t="shared" si="23"/>
        <v>0</v>
      </c>
      <c r="G55" s="201">
        <f t="shared" si="23"/>
        <v>0</v>
      </c>
      <c r="H55" s="142">
        <f t="shared" si="23"/>
        <v>0</v>
      </c>
      <c r="I55" s="143">
        <f t="shared" si="23"/>
        <v>0</v>
      </c>
      <c r="J55" s="197">
        <f t="shared" si="23"/>
        <v>0</v>
      </c>
      <c r="K55" s="142">
        <f t="shared" si="23"/>
        <v>0</v>
      </c>
      <c r="L55" s="143">
        <f t="shared" si="23"/>
        <v>0</v>
      </c>
    </row>
    <row r="56" spans="1:12" ht="15" x14ac:dyDescent="0.25">
      <c r="A56" s="428">
        <f t="shared" si="10"/>
        <v>14</v>
      </c>
      <c r="B56" s="429">
        <f t="shared" si="8"/>
        <v>2033</v>
      </c>
      <c r="C56" s="142">
        <f t="shared" ref="C56:L56" si="24">ROUND(C19,-3)</f>
        <v>0</v>
      </c>
      <c r="D56" s="142">
        <f t="shared" si="24"/>
        <v>0</v>
      </c>
      <c r="E56" s="142">
        <f t="shared" si="24"/>
        <v>0</v>
      </c>
      <c r="F56" s="194">
        <f t="shared" si="24"/>
        <v>0</v>
      </c>
      <c r="G56" s="201">
        <f t="shared" si="24"/>
        <v>0</v>
      </c>
      <c r="H56" s="142">
        <f t="shared" si="24"/>
        <v>0</v>
      </c>
      <c r="I56" s="143">
        <f t="shared" si="24"/>
        <v>0</v>
      </c>
      <c r="J56" s="197">
        <f t="shared" si="24"/>
        <v>0</v>
      </c>
      <c r="K56" s="142">
        <f t="shared" si="24"/>
        <v>0</v>
      </c>
      <c r="L56" s="143">
        <f t="shared" si="24"/>
        <v>0</v>
      </c>
    </row>
    <row r="57" spans="1:12" ht="15" x14ac:dyDescent="0.25">
      <c r="A57" s="428">
        <f t="shared" si="10"/>
        <v>15</v>
      </c>
      <c r="B57" s="429">
        <f t="shared" si="8"/>
        <v>2034</v>
      </c>
      <c r="C57" s="142">
        <f t="shared" ref="C57:L57" si="25">ROUND(C20,-3)</f>
        <v>0</v>
      </c>
      <c r="D57" s="142">
        <f t="shared" si="25"/>
        <v>0</v>
      </c>
      <c r="E57" s="142">
        <f t="shared" si="25"/>
        <v>0</v>
      </c>
      <c r="F57" s="194">
        <f t="shared" si="25"/>
        <v>0</v>
      </c>
      <c r="G57" s="201">
        <f t="shared" si="25"/>
        <v>0</v>
      </c>
      <c r="H57" s="142">
        <f t="shared" si="25"/>
        <v>0</v>
      </c>
      <c r="I57" s="143">
        <f t="shared" si="25"/>
        <v>0</v>
      </c>
      <c r="J57" s="197">
        <f t="shared" si="25"/>
        <v>0</v>
      </c>
      <c r="K57" s="142">
        <f t="shared" si="25"/>
        <v>0</v>
      </c>
      <c r="L57" s="143">
        <f t="shared" si="25"/>
        <v>0</v>
      </c>
    </row>
    <row r="58" spans="1:12" ht="15" x14ac:dyDescent="0.25">
      <c r="A58" s="428">
        <f t="shared" si="10"/>
        <v>16</v>
      </c>
      <c r="B58" s="429">
        <f t="shared" si="8"/>
        <v>2035</v>
      </c>
      <c r="C58" s="142">
        <f t="shared" ref="C58:L58" si="26">ROUND(C21,-3)</f>
        <v>0</v>
      </c>
      <c r="D58" s="142">
        <f t="shared" si="26"/>
        <v>0</v>
      </c>
      <c r="E58" s="142">
        <f t="shared" si="26"/>
        <v>0</v>
      </c>
      <c r="F58" s="194">
        <f t="shared" si="26"/>
        <v>0</v>
      </c>
      <c r="G58" s="201">
        <f t="shared" si="26"/>
        <v>0</v>
      </c>
      <c r="H58" s="142">
        <f t="shared" si="26"/>
        <v>0</v>
      </c>
      <c r="I58" s="143">
        <f t="shared" si="26"/>
        <v>0</v>
      </c>
      <c r="J58" s="197">
        <f t="shared" si="26"/>
        <v>0</v>
      </c>
      <c r="K58" s="142">
        <f t="shared" si="26"/>
        <v>0</v>
      </c>
      <c r="L58" s="143">
        <f t="shared" si="26"/>
        <v>0</v>
      </c>
    </row>
    <row r="59" spans="1:12" ht="15" x14ac:dyDescent="0.25">
      <c r="A59" s="428">
        <f t="shared" si="10"/>
        <v>17</v>
      </c>
      <c r="B59" s="429">
        <f t="shared" si="8"/>
        <v>2036</v>
      </c>
      <c r="C59" s="142">
        <f t="shared" ref="C59:L59" si="27">ROUND(C22,-3)</f>
        <v>0</v>
      </c>
      <c r="D59" s="142">
        <f t="shared" si="27"/>
        <v>0</v>
      </c>
      <c r="E59" s="142">
        <f t="shared" si="27"/>
        <v>0</v>
      </c>
      <c r="F59" s="194">
        <f t="shared" si="27"/>
        <v>0</v>
      </c>
      <c r="G59" s="201">
        <f t="shared" si="27"/>
        <v>0</v>
      </c>
      <c r="H59" s="142">
        <f t="shared" si="27"/>
        <v>0</v>
      </c>
      <c r="I59" s="143">
        <f t="shared" si="27"/>
        <v>0</v>
      </c>
      <c r="J59" s="197">
        <f t="shared" si="27"/>
        <v>0</v>
      </c>
      <c r="K59" s="142">
        <f t="shared" si="27"/>
        <v>0</v>
      </c>
      <c r="L59" s="143">
        <f t="shared" si="27"/>
        <v>0</v>
      </c>
    </row>
    <row r="60" spans="1:12" ht="15" x14ac:dyDescent="0.25">
      <c r="A60" s="428">
        <f t="shared" si="10"/>
        <v>18</v>
      </c>
      <c r="B60" s="429">
        <f t="shared" si="8"/>
        <v>2037</v>
      </c>
      <c r="C60" s="142">
        <f t="shared" ref="C60:L60" si="28">ROUND(C23,-3)</f>
        <v>0</v>
      </c>
      <c r="D60" s="142">
        <f t="shared" si="28"/>
        <v>0</v>
      </c>
      <c r="E60" s="142">
        <f t="shared" si="28"/>
        <v>0</v>
      </c>
      <c r="F60" s="194">
        <f t="shared" si="28"/>
        <v>0</v>
      </c>
      <c r="G60" s="201">
        <f t="shared" si="28"/>
        <v>0</v>
      </c>
      <c r="H60" s="142">
        <f t="shared" si="28"/>
        <v>0</v>
      </c>
      <c r="I60" s="143">
        <f t="shared" si="28"/>
        <v>0</v>
      </c>
      <c r="J60" s="197">
        <f t="shared" si="28"/>
        <v>0</v>
      </c>
      <c r="K60" s="142">
        <f t="shared" si="28"/>
        <v>0</v>
      </c>
      <c r="L60" s="143">
        <f t="shared" si="28"/>
        <v>0</v>
      </c>
    </row>
    <row r="61" spans="1:12" ht="15" x14ac:dyDescent="0.25">
      <c r="A61" s="428">
        <f t="shared" si="10"/>
        <v>19</v>
      </c>
      <c r="B61" s="429">
        <f t="shared" si="8"/>
        <v>2038</v>
      </c>
      <c r="C61" s="142">
        <f t="shared" ref="C61:L61" si="29">ROUND(C24,-3)</f>
        <v>0</v>
      </c>
      <c r="D61" s="142">
        <f t="shared" si="29"/>
        <v>0</v>
      </c>
      <c r="E61" s="142">
        <f t="shared" si="29"/>
        <v>0</v>
      </c>
      <c r="F61" s="194">
        <f t="shared" si="29"/>
        <v>0</v>
      </c>
      <c r="G61" s="201">
        <f t="shared" si="29"/>
        <v>0</v>
      </c>
      <c r="H61" s="142">
        <f t="shared" si="29"/>
        <v>0</v>
      </c>
      <c r="I61" s="143">
        <f t="shared" si="29"/>
        <v>0</v>
      </c>
      <c r="J61" s="197">
        <f t="shared" si="29"/>
        <v>0</v>
      </c>
      <c r="K61" s="142">
        <f t="shared" si="29"/>
        <v>0</v>
      </c>
      <c r="L61" s="143">
        <f t="shared" si="29"/>
        <v>0</v>
      </c>
    </row>
    <row r="62" spans="1:12" ht="15" x14ac:dyDescent="0.25">
      <c r="A62" s="428">
        <f t="shared" si="10"/>
        <v>20</v>
      </c>
      <c r="B62" s="429">
        <f t="shared" si="8"/>
        <v>2039</v>
      </c>
      <c r="C62" s="142">
        <f t="shared" ref="C62:L62" si="30">ROUND(C25,-3)</f>
        <v>0</v>
      </c>
      <c r="D62" s="142">
        <f t="shared" si="30"/>
        <v>0</v>
      </c>
      <c r="E62" s="142">
        <f t="shared" si="30"/>
        <v>0</v>
      </c>
      <c r="F62" s="194">
        <f t="shared" si="30"/>
        <v>0</v>
      </c>
      <c r="G62" s="201">
        <f t="shared" si="30"/>
        <v>0</v>
      </c>
      <c r="H62" s="142">
        <f t="shared" si="30"/>
        <v>0</v>
      </c>
      <c r="I62" s="143">
        <f t="shared" si="30"/>
        <v>0</v>
      </c>
      <c r="J62" s="197">
        <f t="shared" si="30"/>
        <v>0</v>
      </c>
      <c r="K62" s="142">
        <f t="shared" si="30"/>
        <v>0</v>
      </c>
      <c r="L62" s="143">
        <f t="shared" si="30"/>
        <v>0</v>
      </c>
    </row>
    <row r="63" spans="1:12" ht="15" x14ac:dyDescent="0.25">
      <c r="A63" s="428">
        <f t="shared" si="10"/>
        <v>21</v>
      </c>
      <c r="B63" s="429">
        <f t="shared" si="8"/>
        <v>2040</v>
      </c>
      <c r="C63" s="142">
        <f t="shared" ref="C63:L63" si="31">ROUND(C26,-3)</f>
        <v>0</v>
      </c>
      <c r="D63" s="142">
        <f t="shared" si="31"/>
        <v>0</v>
      </c>
      <c r="E63" s="142">
        <f t="shared" si="31"/>
        <v>0</v>
      </c>
      <c r="F63" s="194">
        <f t="shared" si="31"/>
        <v>0</v>
      </c>
      <c r="G63" s="201">
        <f t="shared" si="31"/>
        <v>0</v>
      </c>
      <c r="H63" s="142">
        <f t="shared" si="31"/>
        <v>0</v>
      </c>
      <c r="I63" s="143">
        <f t="shared" si="31"/>
        <v>0</v>
      </c>
      <c r="J63" s="197">
        <f t="shared" si="31"/>
        <v>0</v>
      </c>
      <c r="K63" s="142">
        <f t="shared" si="31"/>
        <v>0</v>
      </c>
      <c r="L63" s="143">
        <f t="shared" si="31"/>
        <v>0</v>
      </c>
    </row>
    <row r="64" spans="1:12" ht="15" x14ac:dyDescent="0.25">
      <c r="A64" s="428">
        <f t="shared" si="10"/>
        <v>22</v>
      </c>
      <c r="B64" s="429">
        <f t="shared" si="8"/>
        <v>2041</v>
      </c>
      <c r="C64" s="142">
        <f t="shared" ref="C64:L64" si="32">ROUND(C27,-3)</f>
        <v>0</v>
      </c>
      <c r="D64" s="142">
        <f t="shared" si="32"/>
        <v>0</v>
      </c>
      <c r="E64" s="142">
        <f t="shared" si="32"/>
        <v>0</v>
      </c>
      <c r="F64" s="194">
        <f t="shared" si="32"/>
        <v>0</v>
      </c>
      <c r="G64" s="201">
        <f t="shared" si="32"/>
        <v>0</v>
      </c>
      <c r="H64" s="142">
        <f t="shared" si="32"/>
        <v>0</v>
      </c>
      <c r="I64" s="143">
        <f t="shared" si="32"/>
        <v>0</v>
      </c>
      <c r="J64" s="197">
        <f t="shared" si="32"/>
        <v>0</v>
      </c>
      <c r="K64" s="142">
        <f t="shared" si="32"/>
        <v>0</v>
      </c>
      <c r="L64" s="143">
        <f t="shared" si="32"/>
        <v>0</v>
      </c>
    </row>
    <row r="65" spans="1:12" ht="15" x14ac:dyDescent="0.25">
      <c r="A65" s="428">
        <f t="shared" si="10"/>
        <v>23</v>
      </c>
      <c r="B65" s="429">
        <f t="shared" si="8"/>
        <v>2042</v>
      </c>
      <c r="C65" s="142">
        <f t="shared" ref="C65:L65" si="33">ROUND(C28,-3)</f>
        <v>0</v>
      </c>
      <c r="D65" s="142">
        <f t="shared" si="33"/>
        <v>0</v>
      </c>
      <c r="E65" s="142">
        <f t="shared" si="33"/>
        <v>0</v>
      </c>
      <c r="F65" s="194">
        <f t="shared" si="33"/>
        <v>0</v>
      </c>
      <c r="G65" s="201">
        <f t="shared" si="33"/>
        <v>0</v>
      </c>
      <c r="H65" s="142">
        <f t="shared" si="33"/>
        <v>0</v>
      </c>
      <c r="I65" s="143">
        <f t="shared" si="33"/>
        <v>0</v>
      </c>
      <c r="J65" s="197">
        <f t="shared" si="33"/>
        <v>0</v>
      </c>
      <c r="K65" s="142">
        <f t="shared" si="33"/>
        <v>0</v>
      </c>
      <c r="L65" s="143">
        <f t="shared" si="33"/>
        <v>0</v>
      </c>
    </row>
    <row r="66" spans="1:12" ht="15" x14ac:dyDescent="0.25">
      <c r="A66" s="428">
        <f t="shared" si="10"/>
        <v>24</v>
      </c>
      <c r="B66" s="429">
        <f t="shared" si="8"/>
        <v>2043</v>
      </c>
      <c r="C66" s="142">
        <f t="shared" ref="C66:L66" si="34">ROUND(C29,-3)</f>
        <v>0</v>
      </c>
      <c r="D66" s="142">
        <f t="shared" si="34"/>
        <v>0</v>
      </c>
      <c r="E66" s="142">
        <f t="shared" si="34"/>
        <v>0</v>
      </c>
      <c r="F66" s="194">
        <f t="shared" si="34"/>
        <v>0</v>
      </c>
      <c r="G66" s="201">
        <f t="shared" si="34"/>
        <v>0</v>
      </c>
      <c r="H66" s="142">
        <f t="shared" si="34"/>
        <v>0</v>
      </c>
      <c r="I66" s="143">
        <f t="shared" si="34"/>
        <v>0</v>
      </c>
      <c r="J66" s="197">
        <f t="shared" si="34"/>
        <v>0</v>
      </c>
      <c r="K66" s="142">
        <f t="shared" si="34"/>
        <v>0</v>
      </c>
      <c r="L66" s="143">
        <f t="shared" si="34"/>
        <v>0</v>
      </c>
    </row>
    <row r="67" spans="1:12" ht="15" x14ac:dyDescent="0.25">
      <c r="A67" s="428">
        <f t="shared" si="10"/>
        <v>25</v>
      </c>
      <c r="B67" s="429">
        <f t="shared" si="8"/>
        <v>2044</v>
      </c>
      <c r="C67" s="142">
        <f t="shared" ref="C67:L67" si="35">ROUND(C30,-3)</f>
        <v>0</v>
      </c>
      <c r="D67" s="142">
        <f t="shared" si="35"/>
        <v>0</v>
      </c>
      <c r="E67" s="142">
        <f t="shared" si="35"/>
        <v>0</v>
      </c>
      <c r="F67" s="194">
        <f t="shared" si="35"/>
        <v>0</v>
      </c>
      <c r="G67" s="201">
        <f t="shared" si="35"/>
        <v>0</v>
      </c>
      <c r="H67" s="142">
        <f t="shared" si="35"/>
        <v>0</v>
      </c>
      <c r="I67" s="143">
        <f t="shared" si="35"/>
        <v>0</v>
      </c>
      <c r="J67" s="197">
        <f t="shared" si="35"/>
        <v>0</v>
      </c>
      <c r="K67" s="142">
        <f t="shared" si="35"/>
        <v>0</v>
      </c>
      <c r="L67" s="143">
        <f t="shared" si="35"/>
        <v>0</v>
      </c>
    </row>
    <row r="68" spans="1:12" ht="15" x14ac:dyDescent="0.25">
      <c r="A68" s="428">
        <f t="shared" si="10"/>
        <v>26</v>
      </c>
      <c r="B68" s="429">
        <f t="shared" si="8"/>
        <v>2045</v>
      </c>
      <c r="C68" s="142">
        <f t="shared" ref="C68:L68" si="36">ROUND(C31,-3)</f>
        <v>0</v>
      </c>
      <c r="D68" s="142">
        <f t="shared" si="36"/>
        <v>0</v>
      </c>
      <c r="E68" s="142">
        <f t="shared" si="36"/>
        <v>0</v>
      </c>
      <c r="F68" s="194">
        <f t="shared" si="36"/>
        <v>0</v>
      </c>
      <c r="G68" s="201">
        <f t="shared" si="36"/>
        <v>0</v>
      </c>
      <c r="H68" s="142">
        <f t="shared" si="36"/>
        <v>0</v>
      </c>
      <c r="I68" s="143">
        <f t="shared" si="36"/>
        <v>0</v>
      </c>
      <c r="J68" s="197">
        <f t="shared" si="36"/>
        <v>0</v>
      </c>
      <c r="K68" s="142">
        <f t="shared" si="36"/>
        <v>0</v>
      </c>
      <c r="L68" s="143">
        <f t="shared" si="36"/>
        <v>0</v>
      </c>
    </row>
    <row r="69" spans="1:12" ht="15" x14ac:dyDescent="0.25">
      <c r="A69" s="428">
        <f t="shared" si="10"/>
        <v>27</v>
      </c>
      <c r="B69" s="429">
        <f t="shared" si="8"/>
        <v>2046</v>
      </c>
      <c r="C69" s="142">
        <f t="shared" ref="C69:L69" si="37">ROUND(C32,-3)</f>
        <v>0</v>
      </c>
      <c r="D69" s="142">
        <f t="shared" si="37"/>
        <v>0</v>
      </c>
      <c r="E69" s="142">
        <f t="shared" si="37"/>
        <v>0</v>
      </c>
      <c r="F69" s="194">
        <f t="shared" si="37"/>
        <v>0</v>
      </c>
      <c r="G69" s="201">
        <f t="shared" si="37"/>
        <v>0</v>
      </c>
      <c r="H69" s="142">
        <f t="shared" si="37"/>
        <v>0</v>
      </c>
      <c r="I69" s="143">
        <f t="shared" si="37"/>
        <v>0</v>
      </c>
      <c r="J69" s="197">
        <f t="shared" si="37"/>
        <v>0</v>
      </c>
      <c r="K69" s="142">
        <f t="shared" si="37"/>
        <v>0</v>
      </c>
      <c r="L69" s="143">
        <f t="shared" si="37"/>
        <v>0</v>
      </c>
    </row>
    <row r="70" spans="1:12" ht="15" x14ac:dyDescent="0.25">
      <c r="A70" s="428">
        <f t="shared" si="10"/>
        <v>28</v>
      </c>
      <c r="B70" s="429">
        <f t="shared" si="8"/>
        <v>2047</v>
      </c>
      <c r="C70" s="142">
        <f t="shared" ref="C70:L70" si="38">ROUND(C33,-3)</f>
        <v>0</v>
      </c>
      <c r="D70" s="142">
        <f t="shared" si="38"/>
        <v>0</v>
      </c>
      <c r="E70" s="142">
        <f t="shared" si="38"/>
        <v>0</v>
      </c>
      <c r="F70" s="194">
        <f t="shared" si="38"/>
        <v>0</v>
      </c>
      <c r="G70" s="201">
        <f t="shared" si="38"/>
        <v>0</v>
      </c>
      <c r="H70" s="142">
        <f t="shared" si="38"/>
        <v>0</v>
      </c>
      <c r="I70" s="143">
        <f t="shared" si="38"/>
        <v>0</v>
      </c>
      <c r="J70" s="197">
        <f t="shared" si="38"/>
        <v>0</v>
      </c>
      <c r="K70" s="142">
        <f t="shared" si="38"/>
        <v>0</v>
      </c>
      <c r="L70" s="143">
        <f t="shared" si="38"/>
        <v>0</v>
      </c>
    </row>
    <row r="71" spans="1:12" ht="15" x14ac:dyDescent="0.25">
      <c r="A71" s="428">
        <f t="shared" si="10"/>
        <v>29</v>
      </c>
      <c r="B71" s="429">
        <f t="shared" si="8"/>
        <v>2048</v>
      </c>
      <c r="C71" s="142">
        <f t="shared" ref="C71:L71" si="39">ROUND(C34,-3)</f>
        <v>0</v>
      </c>
      <c r="D71" s="142">
        <f t="shared" si="39"/>
        <v>0</v>
      </c>
      <c r="E71" s="142">
        <f t="shared" si="39"/>
        <v>0</v>
      </c>
      <c r="F71" s="194">
        <f t="shared" si="39"/>
        <v>0</v>
      </c>
      <c r="G71" s="201">
        <f t="shared" si="39"/>
        <v>0</v>
      </c>
      <c r="H71" s="142">
        <f t="shared" si="39"/>
        <v>0</v>
      </c>
      <c r="I71" s="143">
        <f t="shared" si="39"/>
        <v>0</v>
      </c>
      <c r="J71" s="197">
        <f t="shared" si="39"/>
        <v>0</v>
      </c>
      <c r="K71" s="142">
        <f t="shared" si="39"/>
        <v>0</v>
      </c>
      <c r="L71" s="143">
        <f t="shared" si="39"/>
        <v>0</v>
      </c>
    </row>
    <row r="72" spans="1:12" ht="15" x14ac:dyDescent="0.25">
      <c r="A72" s="428">
        <f t="shared" si="10"/>
        <v>30</v>
      </c>
      <c r="B72" s="429">
        <f t="shared" si="8"/>
        <v>2049</v>
      </c>
      <c r="C72" s="142">
        <f t="shared" ref="C72:L72" si="40">ROUND(C35,-3)</f>
        <v>0</v>
      </c>
      <c r="D72" s="142">
        <f t="shared" si="40"/>
        <v>0</v>
      </c>
      <c r="E72" s="142">
        <f t="shared" si="40"/>
        <v>0</v>
      </c>
      <c r="F72" s="194">
        <f t="shared" si="40"/>
        <v>0</v>
      </c>
      <c r="G72" s="201">
        <f t="shared" si="40"/>
        <v>0</v>
      </c>
      <c r="H72" s="142">
        <f t="shared" si="40"/>
        <v>0</v>
      </c>
      <c r="I72" s="143">
        <f t="shared" si="40"/>
        <v>0</v>
      </c>
      <c r="J72" s="197">
        <f t="shared" si="40"/>
        <v>0</v>
      </c>
      <c r="K72" s="142">
        <f t="shared" si="40"/>
        <v>0</v>
      </c>
      <c r="L72" s="143">
        <f t="shared" si="40"/>
        <v>0</v>
      </c>
    </row>
    <row r="73" spans="1:12" ht="15" thickBot="1" x14ac:dyDescent="0.25">
      <c r="A73" s="630" t="s">
        <v>0</v>
      </c>
      <c r="B73" s="631"/>
      <c r="C73" s="149">
        <f t="shared" ref="C73:L73" si="41">ROUND(C36,-3)</f>
        <v>1073000</v>
      </c>
      <c r="D73" s="149">
        <f t="shared" si="41"/>
        <v>2042000</v>
      </c>
      <c r="E73" s="149">
        <f t="shared" si="41"/>
        <v>11957000</v>
      </c>
      <c r="F73" s="195">
        <f t="shared" si="41"/>
        <v>22562000</v>
      </c>
      <c r="G73" s="202">
        <f t="shared" si="41"/>
        <v>13030000</v>
      </c>
      <c r="H73" s="149">
        <f t="shared" si="41"/>
        <v>24604000</v>
      </c>
      <c r="I73" s="150">
        <f t="shared" si="41"/>
        <v>37634000</v>
      </c>
      <c r="J73" s="198">
        <f t="shared" si="41"/>
        <v>10673000</v>
      </c>
      <c r="K73" s="149">
        <f t="shared" si="41"/>
        <v>20770000</v>
      </c>
      <c r="L73" s="150">
        <f t="shared" si="41"/>
        <v>31443000</v>
      </c>
    </row>
    <row r="74" spans="1:12" ht="13.5" thickBot="1" x14ac:dyDescent="0.25"/>
    <row r="75" spans="1:12" ht="14.25" x14ac:dyDescent="0.2">
      <c r="A75" s="632" t="s">
        <v>130</v>
      </c>
      <c r="B75" s="634" t="s">
        <v>2</v>
      </c>
      <c r="C75" s="636" t="s">
        <v>233</v>
      </c>
      <c r="D75" s="637"/>
      <c r="E75" s="636" t="s">
        <v>234</v>
      </c>
      <c r="F75" s="638"/>
      <c r="G75" s="639" t="s">
        <v>239</v>
      </c>
      <c r="H75" s="640"/>
      <c r="I75" s="641"/>
      <c r="J75" s="627" t="s">
        <v>272</v>
      </c>
      <c r="K75" s="628"/>
      <c r="L75" s="629"/>
    </row>
    <row r="76" spans="1:12" ht="28.5" x14ac:dyDescent="0.2">
      <c r="A76" s="633"/>
      <c r="B76" s="635"/>
      <c r="C76" s="144" t="s">
        <v>123</v>
      </c>
      <c r="D76" s="144" t="s">
        <v>235</v>
      </c>
      <c r="E76" s="144" t="s">
        <v>236</v>
      </c>
      <c r="F76" s="193" t="s">
        <v>237</v>
      </c>
      <c r="G76" s="199" t="s">
        <v>123</v>
      </c>
      <c r="H76" s="144" t="s">
        <v>237</v>
      </c>
      <c r="I76" s="200" t="s">
        <v>238</v>
      </c>
      <c r="J76" s="196" t="s">
        <v>123</v>
      </c>
      <c r="K76" s="145" t="s">
        <v>237</v>
      </c>
      <c r="L76" s="146" t="s">
        <v>238</v>
      </c>
    </row>
    <row r="77" spans="1:12" ht="15" x14ac:dyDescent="0.2">
      <c r="A77" s="420">
        <f>A78-1</f>
        <v>-2</v>
      </c>
      <c r="B77" s="421">
        <f>B78-1</f>
        <v>2017</v>
      </c>
      <c r="C77" s="423">
        <f>C40/1000</f>
        <v>0</v>
      </c>
      <c r="D77" s="423">
        <f t="shared" ref="D77:L77" si="42">D40/1000</f>
        <v>823</v>
      </c>
      <c r="E77" s="423">
        <f t="shared" si="42"/>
        <v>0</v>
      </c>
      <c r="F77" s="426">
        <f t="shared" si="42"/>
        <v>0</v>
      </c>
      <c r="G77" s="427">
        <f t="shared" si="42"/>
        <v>0</v>
      </c>
      <c r="H77" s="423">
        <f t="shared" si="42"/>
        <v>823</v>
      </c>
      <c r="I77" s="424">
        <f t="shared" si="42"/>
        <v>823</v>
      </c>
      <c r="J77" s="422">
        <f t="shared" si="42"/>
        <v>0</v>
      </c>
      <c r="K77" s="423">
        <f t="shared" si="42"/>
        <v>769</v>
      </c>
      <c r="L77" s="424">
        <f t="shared" si="42"/>
        <v>769</v>
      </c>
    </row>
    <row r="78" spans="1:12" ht="15" x14ac:dyDescent="0.25">
      <c r="A78" s="428">
        <v>-1</v>
      </c>
      <c r="B78" s="429">
        <v>2018</v>
      </c>
      <c r="C78" s="142">
        <f t="shared" ref="C78:L78" si="43">C41/1000</f>
        <v>644</v>
      </c>
      <c r="D78" s="142">
        <f t="shared" si="43"/>
        <v>1219</v>
      </c>
      <c r="E78" s="142">
        <f t="shared" si="43"/>
        <v>0</v>
      </c>
      <c r="F78" s="194">
        <f t="shared" si="43"/>
        <v>9079</v>
      </c>
      <c r="G78" s="201">
        <f t="shared" si="43"/>
        <v>644</v>
      </c>
      <c r="H78" s="142">
        <f t="shared" si="43"/>
        <v>10298</v>
      </c>
      <c r="I78" s="143">
        <f t="shared" si="43"/>
        <v>10942</v>
      </c>
      <c r="J78" s="197">
        <f t="shared" si="43"/>
        <v>563</v>
      </c>
      <c r="K78" s="142">
        <f t="shared" si="43"/>
        <v>8995</v>
      </c>
      <c r="L78" s="143">
        <f t="shared" si="43"/>
        <v>9557</v>
      </c>
    </row>
    <row r="79" spans="1:12" ht="15" x14ac:dyDescent="0.25">
      <c r="A79" s="428">
        <v>0</v>
      </c>
      <c r="B79" s="429">
        <f t="shared" ref="B79:B109" si="44">B78+1</f>
        <v>2019</v>
      </c>
      <c r="C79" s="142">
        <f t="shared" ref="C79:L79" si="45">C42/1000</f>
        <v>429</v>
      </c>
      <c r="D79" s="142">
        <f t="shared" si="45"/>
        <v>0</v>
      </c>
      <c r="E79" s="142">
        <f t="shared" si="45"/>
        <v>11957</v>
      </c>
      <c r="F79" s="194">
        <f t="shared" si="45"/>
        <v>13483</v>
      </c>
      <c r="G79" s="201">
        <f t="shared" si="45"/>
        <v>12386</v>
      </c>
      <c r="H79" s="142">
        <f t="shared" si="45"/>
        <v>13483</v>
      </c>
      <c r="I79" s="143">
        <f t="shared" si="45"/>
        <v>25870</v>
      </c>
      <c r="J79" s="197">
        <f t="shared" si="45"/>
        <v>10111</v>
      </c>
      <c r="K79" s="142">
        <f t="shared" si="45"/>
        <v>11006</v>
      </c>
      <c r="L79" s="143">
        <f t="shared" si="45"/>
        <v>21117</v>
      </c>
    </row>
    <row r="80" spans="1:12" ht="15" x14ac:dyDescent="0.25">
      <c r="A80" s="428">
        <f t="shared" ref="A80:A109" si="46">A79+1</f>
        <v>1</v>
      </c>
      <c r="B80" s="429">
        <f t="shared" si="44"/>
        <v>2020</v>
      </c>
      <c r="C80" s="142">
        <f t="shared" ref="C80:L80" si="47">C43/1000</f>
        <v>0</v>
      </c>
      <c r="D80" s="142">
        <f t="shared" si="47"/>
        <v>0</v>
      </c>
      <c r="E80" s="142">
        <f t="shared" si="47"/>
        <v>0</v>
      </c>
      <c r="F80" s="194">
        <f t="shared" si="47"/>
        <v>0</v>
      </c>
      <c r="G80" s="201">
        <f t="shared" si="47"/>
        <v>0</v>
      </c>
      <c r="H80" s="142">
        <f t="shared" si="47"/>
        <v>0</v>
      </c>
      <c r="I80" s="143">
        <f t="shared" si="47"/>
        <v>0</v>
      </c>
      <c r="J80" s="197">
        <f t="shared" si="47"/>
        <v>0</v>
      </c>
      <c r="K80" s="142">
        <f t="shared" si="47"/>
        <v>0</v>
      </c>
      <c r="L80" s="143">
        <f t="shared" si="47"/>
        <v>0</v>
      </c>
    </row>
    <row r="81" spans="1:12" ht="15" x14ac:dyDescent="0.25">
      <c r="A81" s="428">
        <f t="shared" si="46"/>
        <v>2</v>
      </c>
      <c r="B81" s="429">
        <f t="shared" si="44"/>
        <v>2021</v>
      </c>
      <c r="C81" s="142">
        <f t="shared" ref="C81:L81" si="48">C44/1000</f>
        <v>0</v>
      </c>
      <c r="D81" s="142">
        <f t="shared" si="48"/>
        <v>0</v>
      </c>
      <c r="E81" s="142">
        <f t="shared" si="48"/>
        <v>0</v>
      </c>
      <c r="F81" s="194">
        <f t="shared" si="48"/>
        <v>0</v>
      </c>
      <c r="G81" s="201">
        <f t="shared" si="48"/>
        <v>0</v>
      </c>
      <c r="H81" s="142">
        <f t="shared" si="48"/>
        <v>0</v>
      </c>
      <c r="I81" s="143">
        <f t="shared" si="48"/>
        <v>0</v>
      </c>
      <c r="J81" s="197">
        <f t="shared" si="48"/>
        <v>0</v>
      </c>
      <c r="K81" s="142">
        <f t="shared" si="48"/>
        <v>0</v>
      </c>
      <c r="L81" s="143">
        <f t="shared" si="48"/>
        <v>0</v>
      </c>
    </row>
    <row r="82" spans="1:12" ht="15" x14ac:dyDescent="0.25">
      <c r="A82" s="428">
        <f t="shared" si="46"/>
        <v>3</v>
      </c>
      <c r="B82" s="429">
        <f t="shared" si="44"/>
        <v>2022</v>
      </c>
      <c r="C82" s="142">
        <f t="shared" ref="C82:L82" si="49">C45/1000</f>
        <v>0</v>
      </c>
      <c r="D82" s="142">
        <f t="shared" si="49"/>
        <v>0</v>
      </c>
      <c r="E82" s="142">
        <f t="shared" si="49"/>
        <v>0</v>
      </c>
      <c r="F82" s="194">
        <f t="shared" si="49"/>
        <v>0</v>
      </c>
      <c r="G82" s="201">
        <f t="shared" si="49"/>
        <v>0</v>
      </c>
      <c r="H82" s="142">
        <f t="shared" si="49"/>
        <v>0</v>
      </c>
      <c r="I82" s="143">
        <f t="shared" si="49"/>
        <v>0</v>
      </c>
      <c r="J82" s="197">
        <f t="shared" si="49"/>
        <v>0</v>
      </c>
      <c r="K82" s="142">
        <f t="shared" si="49"/>
        <v>0</v>
      </c>
      <c r="L82" s="143">
        <f t="shared" si="49"/>
        <v>0</v>
      </c>
    </row>
    <row r="83" spans="1:12" ht="15" x14ac:dyDescent="0.25">
      <c r="A83" s="428">
        <f t="shared" si="46"/>
        <v>4</v>
      </c>
      <c r="B83" s="429">
        <f t="shared" si="44"/>
        <v>2023</v>
      </c>
      <c r="C83" s="142">
        <f t="shared" ref="C83:L83" si="50">C46/1000</f>
        <v>0</v>
      </c>
      <c r="D83" s="142">
        <f t="shared" si="50"/>
        <v>0</v>
      </c>
      <c r="E83" s="142">
        <f t="shared" si="50"/>
        <v>0</v>
      </c>
      <c r="F83" s="194">
        <f t="shared" si="50"/>
        <v>0</v>
      </c>
      <c r="G83" s="201">
        <f t="shared" si="50"/>
        <v>0</v>
      </c>
      <c r="H83" s="142">
        <f t="shared" si="50"/>
        <v>0</v>
      </c>
      <c r="I83" s="143">
        <f t="shared" si="50"/>
        <v>0</v>
      </c>
      <c r="J83" s="197">
        <f t="shared" si="50"/>
        <v>0</v>
      </c>
      <c r="K83" s="142">
        <f t="shared" si="50"/>
        <v>0</v>
      </c>
      <c r="L83" s="143">
        <f t="shared" si="50"/>
        <v>0</v>
      </c>
    </row>
    <row r="84" spans="1:12" ht="15" x14ac:dyDescent="0.25">
      <c r="A84" s="428">
        <f t="shared" si="46"/>
        <v>5</v>
      </c>
      <c r="B84" s="429">
        <f t="shared" si="44"/>
        <v>2024</v>
      </c>
      <c r="C84" s="142">
        <f t="shared" ref="C84:L84" si="51">C47/1000</f>
        <v>0</v>
      </c>
      <c r="D84" s="142">
        <f t="shared" si="51"/>
        <v>0</v>
      </c>
      <c r="E84" s="142">
        <f t="shared" si="51"/>
        <v>0</v>
      </c>
      <c r="F84" s="194">
        <f t="shared" si="51"/>
        <v>0</v>
      </c>
      <c r="G84" s="201">
        <f t="shared" si="51"/>
        <v>0</v>
      </c>
      <c r="H84" s="142">
        <f t="shared" si="51"/>
        <v>0</v>
      </c>
      <c r="I84" s="143">
        <f t="shared" si="51"/>
        <v>0</v>
      </c>
      <c r="J84" s="197">
        <f t="shared" si="51"/>
        <v>0</v>
      </c>
      <c r="K84" s="142">
        <f t="shared" si="51"/>
        <v>0</v>
      </c>
      <c r="L84" s="143">
        <f t="shared" si="51"/>
        <v>0</v>
      </c>
    </row>
    <row r="85" spans="1:12" ht="15" x14ac:dyDescent="0.25">
      <c r="A85" s="428">
        <f t="shared" si="46"/>
        <v>6</v>
      </c>
      <c r="B85" s="429">
        <f t="shared" si="44"/>
        <v>2025</v>
      </c>
      <c r="C85" s="142">
        <f t="shared" ref="C85:L85" si="52">C48/1000</f>
        <v>0</v>
      </c>
      <c r="D85" s="142">
        <f t="shared" si="52"/>
        <v>0</v>
      </c>
      <c r="E85" s="142">
        <f t="shared" si="52"/>
        <v>0</v>
      </c>
      <c r="F85" s="194">
        <f t="shared" si="52"/>
        <v>0</v>
      </c>
      <c r="G85" s="201">
        <f t="shared" si="52"/>
        <v>0</v>
      </c>
      <c r="H85" s="142">
        <f t="shared" si="52"/>
        <v>0</v>
      </c>
      <c r="I85" s="143">
        <f t="shared" si="52"/>
        <v>0</v>
      </c>
      <c r="J85" s="197">
        <f t="shared" si="52"/>
        <v>0</v>
      </c>
      <c r="K85" s="142">
        <f t="shared" si="52"/>
        <v>0</v>
      </c>
      <c r="L85" s="143">
        <f t="shared" si="52"/>
        <v>0</v>
      </c>
    </row>
    <row r="86" spans="1:12" ht="15" x14ac:dyDescent="0.25">
      <c r="A86" s="428">
        <f t="shared" si="46"/>
        <v>7</v>
      </c>
      <c r="B86" s="429">
        <f t="shared" si="44"/>
        <v>2026</v>
      </c>
      <c r="C86" s="142">
        <f t="shared" ref="C86:L86" si="53">C49/1000</f>
        <v>0</v>
      </c>
      <c r="D86" s="142">
        <f t="shared" si="53"/>
        <v>0</v>
      </c>
      <c r="E86" s="142">
        <f t="shared" si="53"/>
        <v>0</v>
      </c>
      <c r="F86" s="194">
        <f t="shared" si="53"/>
        <v>0</v>
      </c>
      <c r="G86" s="201">
        <f t="shared" si="53"/>
        <v>0</v>
      </c>
      <c r="H86" s="142">
        <f t="shared" si="53"/>
        <v>0</v>
      </c>
      <c r="I86" s="143">
        <f t="shared" si="53"/>
        <v>0</v>
      </c>
      <c r="J86" s="197">
        <f t="shared" si="53"/>
        <v>0</v>
      </c>
      <c r="K86" s="142">
        <f t="shared" si="53"/>
        <v>0</v>
      </c>
      <c r="L86" s="143">
        <f t="shared" si="53"/>
        <v>0</v>
      </c>
    </row>
    <row r="87" spans="1:12" ht="15" x14ac:dyDescent="0.25">
      <c r="A87" s="428">
        <f t="shared" si="46"/>
        <v>8</v>
      </c>
      <c r="B87" s="429">
        <f t="shared" si="44"/>
        <v>2027</v>
      </c>
      <c r="C87" s="142">
        <f t="shared" ref="C87:L87" si="54">C50/1000</f>
        <v>0</v>
      </c>
      <c r="D87" s="142">
        <f t="shared" si="54"/>
        <v>0</v>
      </c>
      <c r="E87" s="142">
        <f t="shared" si="54"/>
        <v>0</v>
      </c>
      <c r="F87" s="194">
        <f t="shared" si="54"/>
        <v>0</v>
      </c>
      <c r="G87" s="201">
        <f t="shared" si="54"/>
        <v>0</v>
      </c>
      <c r="H87" s="142">
        <f t="shared" si="54"/>
        <v>0</v>
      </c>
      <c r="I87" s="143">
        <f t="shared" si="54"/>
        <v>0</v>
      </c>
      <c r="J87" s="197">
        <f t="shared" si="54"/>
        <v>0</v>
      </c>
      <c r="K87" s="142">
        <f t="shared" si="54"/>
        <v>0</v>
      </c>
      <c r="L87" s="143">
        <f t="shared" si="54"/>
        <v>0</v>
      </c>
    </row>
    <row r="88" spans="1:12" ht="15" x14ac:dyDescent="0.25">
      <c r="A88" s="428">
        <f t="shared" si="46"/>
        <v>9</v>
      </c>
      <c r="B88" s="429">
        <f t="shared" si="44"/>
        <v>2028</v>
      </c>
      <c r="C88" s="142">
        <f t="shared" ref="C88:L88" si="55">C51/1000</f>
        <v>0</v>
      </c>
      <c r="D88" s="142">
        <f t="shared" si="55"/>
        <v>0</v>
      </c>
      <c r="E88" s="142">
        <f t="shared" si="55"/>
        <v>0</v>
      </c>
      <c r="F88" s="194">
        <f t="shared" si="55"/>
        <v>0</v>
      </c>
      <c r="G88" s="201">
        <f t="shared" si="55"/>
        <v>0</v>
      </c>
      <c r="H88" s="142">
        <f t="shared" si="55"/>
        <v>0</v>
      </c>
      <c r="I88" s="143">
        <f t="shared" si="55"/>
        <v>0</v>
      </c>
      <c r="J88" s="197">
        <f t="shared" si="55"/>
        <v>0</v>
      </c>
      <c r="K88" s="142">
        <f t="shared" si="55"/>
        <v>0</v>
      </c>
      <c r="L88" s="143">
        <f t="shared" si="55"/>
        <v>0</v>
      </c>
    </row>
    <row r="89" spans="1:12" ht="15" x14ac:dyDescent="0.25">
      <c r="A89" s="428">
        <f t="shared" si="46"/>
        <v>10</v>
      </c>
      <c r="B89" s="429">
        <f t="shared" si="44"/>
        <v>2029</v>
      </c>
      <c r="C89" s="142">
        <f t="shared" ref="C89:L89" si="56">C52/1000</f>
        <v>0</v>
      </c>
      <c r="D89" s="142">
        <f t="shared" si="56"/>
        <v>0</v>
      </c>
      <c r="E89" s="142">
        <f t="shared" si="56"/>
        <v>0</v>
      </c>
      <c r="F89" s="194">
        <f t="shared" si="56"/>
        <v>0</v>
      </c>
      <c r="G89" s="201">
        <f t="shared" si="56"/>
        <v>0</v>
      </c>
      <c r="H89" s="142">
        <f t="shared" si="56"/>
        <v>0</v>
      </c>
      <c r="I89" s="143">
        <f t="shared" si="56"/>
        <v>0</v>
      </c>
      <c r="J89" s="197">
        <f t="shared" si="56"/>
        <v>0</v>
      </c>
      <c r="K89" s="142">
        <f t="shared" si="56"/>
        <v>0</v>
      </c>
      <c r="L89" s="143">
        <f t="shared" si="56"/>
        <v>0</v>
      </c>
    </row>
    <row r="90" spans="1:12" ht="15" x14ac:dyDescent="0.25">
      <c r="A90" s="428">
        <f t="shared" si="46"/>
        <v>11</v>
      </c>
      <c r="B90" s="429">
        <f t="shared" si="44"/>
        <v>2030</v>
      </c>
      <c r="C90" s="142">
        <f t="shared" ref="C90:L90" si="57">C53/1000</f>
        <v>0</v>
      </c>
      <c r="D90" s="142">
        <f t="shared" si="57"/>
        <v>0</v>
      </c>
      <c r="E90" s="142">
        <f t="shared" si="57"/>
        <v>0</v>
      </c>
      <c r="F90" s="194">
        <f t="shared" si="57"/>
        <v>0</v>
      </c>
      <c r="G90" s="201">
        <f t="shared" si="57"/>
        <v>0</v>
      </c>
      <c r="H90" s="142">
        <f t="shared" si="57"/>
        <v>0</v>
      </c>
      <c r="I90" s="143">
        <f t="shared" si="57"/>
        <v>0</v>
      </c>
      <c r="J90" s="197">
        <f t="shared" si="57"/>
        <v>0</v>
      </c>
      <c r="K90" s="142">
        <f t="shared" si="57"/>
        <v>0</v>
      </c>
      <c r="L90" s="143">
        <f t="shared" si="57"/>
        <v>0</v>
      </c>
    </row>
    <row r="91" spans="1:12" ht="15" x14ac:dyDescent="0.25">
      <c r="A91" s="428">
        <f t="shared" si="46"/>
        <v>12</v>
      </c>
      <c r="B91" s="429">
        <f t="shared" si="44"/>
        <v>2031</v>
      </c>
      <c r="C91" s="142">
        <f t="shared" ref="C91:L91" si="58">C54/1000</f>
        <v>0</v>
      </c>
      <c r="D91" s="142">
        <f t="shared" si="58"/>
        <v>0</v>
      </c>
      <c r="E91" s="142">
        <f t="shared" si="58"/>
        <v>0</v>
      </c>
      <c r="F91" s="194">
        <f t="shared" si="58"/>
        <v>0</v>
      </c>
      <c r="G91" s="201">
        <f t="shared" si="58"/>
        <v>0</v>
      </c>
      <c r="H91" s="142">
        <f t="shared" si="58"/>
        <v>0</v>
      </c>
      <c r="I91" s="143">
        <f t="shared" si="58"/>
        <v>0</v>
      </c>
      <c r="J91" s="197">
        <f t="shared" si="58"/>
        <v>0</v>
      </c>
      <c r="K91" s="142">
        <f t="shared" si="58"/>
        <v>0</v>
      </c>
      <c r="L91" s="143">
        <f t="shared" si="58"/>
        <v>0</v>
      </c>
    </row>
    <row r="92" spans="1:12" ht="15" x14ac:dyDescent="0.25">
      <c r="A92" s="428">
        <f t="shared" si="46"/>
        <v>13</v>
      </c>
      <c r="B92" s="429">
        <f t="shared" si="44"/>
        <v>2032</v>
      </c>
      <c r="C92" s="142">
        <f t="shared" ref="C92:L92" si="59">C55/1000</f>
        <v>0</v>
      </c>
      <c r="D92" s="142">
        <f t="shared" si="59"/>
        <v>0</v>
      </c>
      <c r="E92" s="142">
        <f t="shared" si="59"/>
        <v>0</v>
      </c>
      <c r="F92" s="194">
        <f t="shared" si="59"/>
        <v>0</v>
      </c>
      <c r="G92" s="201">
        <f t="shared" si="59"/>
        <v>0</v>
      </c>
      <c r="H92" s="142">
        <f t="shared" si="59"/>
        <v>0</v>
      </c>
      <c r="I92" s="143">
        <f t="shared" si="59"/>
        <v>0</v>
      </c>
      <c r="J92" s="197">
        <f t="shared" si="59"/>
        <v>0</v>
      </c>
      <c r="K92" s="142">
        <f t="shared" si="59"/>
        <v>0</v>
      </c>
      <c r="L92" s="143">
        <f t="shared" si="59"/>
        <v>0</v>
      </c>
    </row>
    <row r="93" spans="1:12" ht="15" x14ac:dyDescent="0.25">
      <c r="A93" s="428">
        <f t="shared" si="46"/>
        <v>14</v>
      </c>
      <c r="B93" s="429">
        <f t="shared" si="44"/>
        <v>2033</v>
      </c>
      <c r="C93" s="142">
        <f t="shared" ref="C93:L93" si="60">C56/1000</f>
        <v>0</v>
      </c>
      <c r="D93" s="142">
        <f t="shared" si="60"/>
        <v>0</v>
      </c>
      <c r="E93" s="142">
        <f t="shared" si="60"/>
        <v>0</v>
      </c>
      <c r="F93" s="194">
        <f t="shared" si="60"/>
        <v>0</v>
      </c>
      <c r="G93" s="201">
        <f t="shared" si="60"/>
        <v>0</v>
      </c>
      <c r="H93" s="142">
        <f t="shared" si="60"/>
        <v>0</v>
      </c>
      <c r="I93" s="143">
        <f t="shared" si="60"/>
        <v>0</v>
      </c>
      <c r="J93" s="197">
        <f t="shared" si="60"/>
        <v>0</v>
      </c>
      <c r="K93" s="142">
        <f t="shared" si="60"/>
        <v>0</v>
      </c>
      <c r="L93" s="143">
        <f t="shared" si="60"/>
        <v>0</v>
      </c>
    </row>
    <row r="94" spans="1:12" ht="15" x14ac:dyDescent="0.25">
      <c r="A94" s="428">
        <f t="shared" si="46"/>
        <v>15</v>
      </c>
      <c r="B94" s="429">
        <f t="shared" si="44"/>
        <v>2034</v>
      </c>
      <c r="C94" s="142">
        <f t="shared" ref="C94:L94" si="61">C57/1000</f>
        <v>0</v>
      </c>
      <c r="D94" s="142">
        <f t="shared" si="61"/>
        <v>0</v>
      </c>
      <c r="E94" s="142">
        <f t="shared" si="61"/>
        <v>0</v>
      </c>
      <c r="F94" s="194">
        <f t="shared" si="61"/>
        <v>0</v>
      </c>
      <c r="G94" s="201">
        <f t="shared" si="61"/>
        <v>0</v>
      </c>
      <c r="H94" s="142">
        <f t="shared" si="61"/>
        <v>0</v>
      </c>
      <c r="I94" s="143">
        <f t="shared" si="61"/>
        <v>0</v>
      </c>
      <c r="J94" s="197">
        <f t="shared" si="61"/>
        <v>0</v>
      </c>
      <c r="K94" s="142">
        <f t="shared" si="61"/>
        <v>0</v>
      </c>
      <c r="L94" s="143">
        <f t="shared" si="61"/>
        <v>0</v>
      </c>
    </row>
    <row r="95" spans="1:12" ht="15" x14ac:dyDescent="0.25">
      <c r="A95" s="428">
        <f t="shared" si="46"/>
        <v>16</v>
      </c>
      <c r="B95" s="429">
        <f t="shared" si="44"/>
        <v>2035</v>
      </c>
      <c r="C95" s="142">
        <f t="shared" ref="C95:L95" si="62">C58/1000</f>
        <v>0</v>
      </c>
      <c r="D95" s="142">
        <f t="shared" si="62"/>
        <v>0</v>
      </c>
      <c r="E95" s="142">
        <f t="shared" si="62"/>
        <v>0</v>
      </c>
      <c r="F95" s="194">
        <f t="shared" si="62"/>
        <v>0</v>
      </c>
      <c r="G95" s="201">
        <f t="shared" si="62"/>
        <v>0</v>
      </c>
      <c r="H95" s="142">
        <f t="shared" si="62"/>
        <v>0</v>
      </c>
      <c r="I95" s="143">
        <f t="shared" si="62"/>
        <v>0</v>
      </c>
      <c r="J95" s="197">
        <f t="shared" si="62"/>
        <v>0</v>
      </c>
      <c r="K95" s="142">
        <f t="shared" si="62"/>
        <v>0</v>
      </c>
      <c r="L95" s="143">
        <f t="shared" si="62"/>
        <v>0</v>
      </c>
    </row>
    <row r="96" spans="1:12" ht="15" x14ac:dyDescent="0.25">
      <c r="A96" s="428">
        <f t="shared" si="46"/>
        <v>17</v>
      </c>
      <c r="B96" s="429">
        <f t="shared" si="44"/>
        <v>2036</v>
      </c>
      <c r="C96" s="142">
        <f t="shared" ref="C96:L96" si="63">C59/1000</f>
        <v>0</v>
      </c>
      <c r="D96" s="142">
        <f t="shared" si="63"/>
        <v>0</v>
      </c>
      <c r="E96" s="142">
        <f t="shared" si="63"/>
        <v>0</v>
      </c>
      <c r="F96" s="194">
        <f t="shared" si="63"/>
        <v>0</v>
      </c>
      <c r="G96" s="201">
        <f t="shared" si="63"/>
        <v>0</v>
      </c>
      <c r="H96" s="142">
        <f t="shared" si="63"/>
        <v>0</v>
      </c>
      <c r="I96" s="143">
        <f t="shared" si="63"/>
        <v>0</v>
      </c>
      <c r="J96" s="197">
        <f t="shared" si="63"/>
        <v>0</v>
      </c>
      <c r="K96" s="142">
        <f t="shared" si="63"/>
        <v>0</v>
      </c>
      <c r="L96" s="143">
        <f t="shared" si="63"/>
        <v>0</v>
      </c>
    </row>
    <row r="97" spans="1:12" ht="15" x14ac:dyDescent="0.25">
      <c r="A97" s="428">
        <f t="shared" si="46"/>
        <v>18</v>
      </c>
      <c r="B97" s="429">
        <f t="shared" si="44"/>
        <v>2037</v>
      </c>
      <c r="C97" s="142">
        <f t="shared" ref="C97:L97" si="64">C60/1000</f>
        <v>0</v>
      </c>
      <c r="D97" s="142">
        <f t="shared" si="64"/>
        <v>0</v>
      </c>
      <c r="E97" s="142">
        <f t="shared" si="64"/>
        <v>0</v>
      </c>
      <c r="F97" s="194">
        <f t="shared" si="64"/>
        <v>0</v>
      </c>
      <c r="G97" s="201">
        <f t="shared" si="64"/>
        <v>0</v>
      </c>
      <c r="H97" s="142">
        <f t="shared" si="64"/>
        <v>0</v>
      </c>
      <c r="I97" s="143">
        <f t="shared" si="64"/>
        <v>0</v>
      </c>
      <c r="J97" s="197">
        <f t="shared" si="64"/>
        <v>0</v>
      </c>
      <c r="K97" s="142">
        <f t="shared" si="64"/>
        <v>0</v>
      </c>
      <c r="L97" s="143">
        <f t="shared" si="64"/>
        <v>0</v>
      </c>
    </row>
    <row r="98" spans="1:12" ht="15" x14ac:dyDescent="0.25">
      <c r="A98" s="428">
        <f t="shared" si="46"/>
        <v>19</v>
      </c>
      <c r="B98" s="429">
        <f t="shared" si="44"/>
        <v>2038</v>
      </c>
      <c r="C98" s="142">
        <f t="shared" ref="C98:L98" si="65">C61/1000</f>
        <v>0</v>
      </c>
      <c r="D98" s="142">
        <f t="shared" si="65"/>
        <v>0</v>
      </c>
      <c r="E98" s="142">
        <f t="shared" si="65"/>
        <v>0</v>
      </c>
      <c r="F98" s="194">
        <f t="shared" si="65"/>
        <v>0</v>
      </c>
      <c r="G98" s="201">
        <f t="shared" si="65"/>
        <v>0</v>
      </c>
      <c r="H98" s="142">
        <f t="shared" si="65"/>
        <v>0</v>
      </c>
      <c r="I98" s="143">
        <f t="shared" si="65"/>
        <v>0</v>
      </c>
      <c r="J98" s="197">
        <f t="shared" si="65"/>
        <v>0</v>
      </c>
      <c r="K98" s="142">
        <f t="shared" si="65"/>
        <v>0</v>
      </c>
      <c r="L98" s="143">
        <f t="shared" si="65"/>
        <v>0</v>
      </c>
    </row>
    <row r="99" spans="1:12" ht="15" x14ac:dyDescent="0.25">
      <c r="A99" s="428">
        <f t="shared" si="46"/>
        <v>20</v>
      </c>
      <c r="B99" s="429">
        <f t="shared" si="44"/>
        <v>2039</v>
      </c>
      <c r="C99" s="142">
        <f t="shared" ref="C99:L99" si="66">C62/1000</f>
        <v>0</v>
      </c>
      <c r="D99" s="142">
        <f t="shared" si="66"/>
        <v>0</v>
      </c>
      <c r="E99" s="142">
        <f t="shared" si="66"/>
        <v>0</v>
      </c>
      <c r="F99" s="194">
        <f t="shared" si="66"/>
        <v>0</v>
      </c>
      <c r="G99" s="201">
        <f t="shared" si="66"/>
        <v>0</v>
      </c>
      <c r="H99" s="142">
        <f t="shared" si="66"/>
        <v>0</v>
      </c>
      <c r="I99" s="143">
        <f t="shared" si="66"/>
        <v>0</v>
      </c>
      <c r="J99" s="197">
        <f t="shared" si="66"/>
        <v>0</v>
      </c>
      <c r="K99" s="142">
        <f t="shared" si="66"/>
        <v>0</v>
      </c>
      <c r="L99" s="143">
        <f t="shared" si="66"/>
        <v>0</v>
      </c>
    </row>
    <row r="100" spans="1:12" ht="15" x14ac:dyDescent="0.25">
      <c r="A100" s="428">
        <f t="shared" si="46"/>
        <v>21</v>
      </c>
      <c r="B100" s="429">
        <f t="shared" si="44"/>
        <v>2040</v>
      </c>
      <c r="C100" s="142">
        <f t="shared" ref="C100:L100" si="67">C63/1000</f>
        <v>0</v>
      </c>
      <c r="D100" s="142">
        <f t="shared" si="67"/>
        <v>0</v>
      </c>
      <c r="E100" s="142">
        <f t="shared" si="67"/>
        <v>0</v>
      </c>
      <c r="F100" s="194">
        <f t="shared" si="67"/>
        <v>0</v>
      </c>
      <c r="G100" s="201">
        <f t="shared" si="67"/>
        <v>0</v>
      </c>
      <c r="H100" s="142">
        <f t="shared" si="67"/>
        <v>0</v>
      </c>
      <c r="I100" s="143">
        <f t="shared" si="67"/>
        <v>0</v>
      </c>
      <c r="J100" s="197">
        <f t="shared" si="67"/>
        <v>0</v>
      </c>
      <c r="K100" s="142">
        <f t="shared" si="67"/>
        <v>0</v>
      </c>
      <c r="L100" s="143">
        <f t="shared" si="67"/>
        <v>0</v>
      </c>
    </row>
    <row r="101" spans="1:12" ht="15" x14ac:dyDescent="0.25">
      <c r="A101" s="428">
        <f t="shared" si="46"/>
        <v>22</v>
      </c>
      <c r="B101" s="429">
        <f t="shared" si="44"/>
        <v>2041</v>
      </c>
      <c r="C101" s="142">
        <f t="shared" ref="C101:L101" si="68">C64/1000</f>
        <v>0</v>
      </c>
      <c r="D101" s="142">
        <f t="shared" si="68"/>
        <v>0</v>
      </c>
      <c r="E101" s="142">
        <f t="shared" si="68"/>
        <v>0</v>
      </c>
      <c r="F101" s="194">
        <f t="shared" si="68"/>
        <v>0</v>
      </c>
      <c r="G101" s="201">
        <f t="shared" si="68"/>
        <v>0</v>
      </c>
      <c r="H101" s="142">
        <f t="shared" si="68"/>
        <v>0</v>
      </c>
      <c r="I101" s="143">
        <f t="shared" si="68"/>
        <v>0</v>
      </c>
      <c r="J101" s="197">
        <f t="shared" si="68"/>
        <v>0</v>
      </c>
      <c r="K101" s="142">
        <f t="shared" si="68"/>
        <v>0</v>
      </c>
      <c r="L101" s="143">
        <f t="shared" si="68"/>
        <v>0</v>
      </c>
    </row>
    <row r="102" spans="1:12" ht="15" x14ac:dyDescent="0.25">
      <c r="A102" s="428">
        <f t="shared" si="46"/>
        <v>23</v>
      </c>
      <c r="B102" s="429">
        <f t="shared" si="44"/>
        <v>2042</v>
      </c>
      <c r="C102" s="142">
        <f t="shared" ref="C102:L102" si="69">C65/1000</f>
        <v>0</v>
      </c>
      <c r="D102" s="142">
        <f t="shared" si="69"/>
        <v>0</v>
      </c>
      <c r="E102" s="142">
        <f t="shared" si="69"/>
        <v>0</v>
      </c>
      <c r="F102" s="194">
        <f t="shared" si="69"/>
        <v>0</v>
      </c>
      <c r="G102" s="201">
        <f t="shared" si="69"/>
        <v>0</v>
      </c>
      <c r="H102" s="142">
        <f t="shared" si="69"/>
        <v>0</v>
      </c>
      <c r="I102" s="143">
        <f t="shared" si="69"/>
        <v>0</v>
      </c>
      <c r="J102" s="197">
        <f t="shared" si="69"/>
        <v>0</v>
      </c>
      <c r="K102" s="142">
        <f t="shared" si="69"/>
        <v>0</v>
      </c>
      <c r="L102" s="143">
        <f t="shared" si="69"/>
        <v>0</v>
      </c>
    </row>
    <row r="103" spans="1:12" ht="15" x14ac:dyDescent="0.25">
      <c r="A103" s="428">
        <f t="shared" si="46"/>
        <v>24</v>
      </c>
      <c r="B103" s="429">
        <f t="shared" si="44"/>
        <v>2043</v>
      </c>
      <c r="C103" s="142">
        <f t="shared" ref="C103:L103" si="70">C66/1000</f>
        <v>0</v>
      </c>
      <c r="D103" s="142">
        <f t="shared" si="70"/>
        <v>0</v>
      </c>
      <c r="E103" s="142">
        <f t="shared" si="70"/>
        <v>0</v>
      </c>
      <c r="F103" s="194">
        <f t="shared" si="70"/>
        <v>0</v>
      </c>
      <c r="G103" s="201">
        <f t="shared" si="70"/>
        <v>0</v>
      </c>
      <c r="H103" s="142">
        <f t="shared" si="70"/>
        <v>0</v>
      </c>
      <c r="I103" s="143">
        <f t="shared" si="70"/>
        <v>0</v>
      </c>
      <c r="J103" s="197">
        <f t="shared" si="70"/>
        <v>0</v>
      </c>
      <c r="K103" s="142">
        <f t="shared" si="70"/>
        <v>0</v>
      </c>
      <c r="L103" s="143">
        <f t="shared" si="70"/>
        <v>0</v>
      </c>
    </row>
    <row r="104" spans="1:12" ht="15" x14ac:dyDescent="0.25">
      <c r="A104" s="428">
        <f t="shared" si="46"/>
        <v>25</v>
      </c>
      <c r="B104" s="429">
        <f t="shared" si="44"/>
        <v>2044</v>
      </c>
      <c r="C104" s="142">
        <f t="shared" ref="C104:L104" si="71">C67/1000</f>
        <v>0</v>
      </c>
      <c r="D104" s="142">
        <f t="shared" si="71"/>
        <v>0</v>
      </c>
      <c r="E104" s="142">
        <f t="shared" si="71"/>
        <v>0</v>
      </c>
      <c r="F104" s="194">
        <f t="shared" si="71"/>
        <v>0</v>
      </c>
      <c r="G104" s="201">
        <f t="shared" si="71"/>
        <v>0</v>
      </c>
      <c r="H104" s="142">
        <f t="shared" si="71"/>
        <v>0</v>
      </c>
      <c r="I104" s="143">
        <f t="shared" si="71"/>
        <v>0</v>
      </c>
      <c r="J104" s="197">
        <f t="shared" si="71"/>
        <v>0</v>
      </c>
      <c r="K104" s="142">
        <f t="shared" si="71"/>
        <v>0</v>
      </c>
      <c r="L104" s="143">
        <f t="shared" si="71"/>
        <v>0</v>
      </c>
    </row>
    <row r="105" spans="1:12" ht="15" x14ac:dyDescent="0.25">
      <c r="A105" s="428">
        <f t="shared" si="46"/>
        <v>26</v>
      </c>
      <c r="B105" s="429">
        <f t="shared" si="44"/>
        <v>2045</v>
      </c>
      <c r="C105" s="142">
        <f t="shared" ref="C105:L105" si="72">C68/1000</f>
        <v>0</v>
      </c>
      <c r="D105" s="142">
        <f t="shared" si="72"/>
        <v>0</v>
      </c>
      <c r="E105" s="142">
        <f t="shared" si="72"/>
        <v>0</v>
      </c>
      <c r="F105" s="194">
        <f t="shared" si="72"/>
        <v>0</v>
      </c>
      <c r="G105" s="201">
        <f t="shared" si="72"/>
        <v>0</v>
      </c>
      <c r="H105" s="142">
        <f t="shared" si="72"/>
        <v>0</v>
      </c>
      <c r="I105" s="143">
        <f t="shared" si="72"/>
        <v>0</v>
      </c>
      <c r="J105" s="197">
        <f t="shared" si="72"/>
        <v>0</v>
      </c>
      <c r="K105" s="142">
        <f t="shared" si="72"/>
        <v>0</v>
      </c>
      <c r="L105" s="143">
        <f t="shared" si="72"/>
        <v>0</v>
      </c>
    </row>
    <row r="106" spans="1:12" ht="15" x14ac:dyDescent="0.25">
      <c r="A106" s="428">
        <f t="shared" si="46"/>
        <v>27</v>
      </c>
      <c r="B106" s="429">
        <f t="shared" si="44"/>
        <v>2046</v>
      </c>
      <c r="C106" s="142">
        <f t="shared" ref="C106:L106" si="73">C69/1000</f>
        <v>0</v>
      </c>
      <c r="D106" s="142">
        <f t="shared" si="73"/>
        <v>0</v>
      </c>
      <c r="E106" s="142">
        <f t="shared" si="73"/>
        <v>0</v>
      </c>
      <c r="F106" s="194">
        <f t="shared" si="73"/>
        <v>0</v>
      </c>
      <c r="G106" s="201">
        <f t="shared" si="73"/>
        <v>0</v>
      </c>
      <c r="H106" s="142">
        <f t="shared" si="73"/>
        <v>0</v>
      </c>
      <c r="I106" s="143">
        <f t="shared" si="73"/>
        <v>0</v>
      </c>
      <c r="J106" s="197">
        <f t="shared" si="73"/>
        <v>0</v>
      </c>
      <c r="K106" s="142">
        <f t="shared" si="73"/>
        <v>0</v>
      </c>
      <c r="L106" s="143">
        <f t="shared" si="73"/>
        <v>0</v>
      </c>
    </row>
    <row r="107" spans="1:12" ht="15" x14ac:dyDescent="0.25">
      <c r="A107" s="428">
        <f t="shared" si="46"/>
        <v>28</v>
      </c>
      <c r="B107" s="429">
        <f t="shared" si="44"/>
        <v>2047</v>
      </c>
      <c r="C107" s="142">
        <f t="shared" ref="C107:L107" si="74">C70/1000</f>
        <v>0</v>
      </c>
      <c r="D107" s="142">
        <f t="shared" si="74"/>
        <v>0</v>
      </c>
      <c r="E107" s="142">
        <f t="shared" si="74"/>
        <v>0</v>
      </c>
      <c r="F107" s="194">
        <f t="shared" si="74"/>
        <v>0</v>
      </c>
      <c r="G107" s="201">
        <f t="shared" si="74"/>
        <v>0</v>
      </c>
      <c r="H107" s="142">
        <f t="shared" si="74"/>
        <v>0</v>
      </c>
      <c r="I107" s="143">
        <f t="shared" si="74"/>
        <v>0</v>
      </c>
      <c r="J107" s="197">
        <f t="shared" si="74"/>
        <v>0</v>
      </c>
      <c r="K107" s="142">
        <f t="shared" si="74"/>
        <v>0</v>
      </c>
      <c r="L107" s="143">
        <f t="shared" si="74"/>
        <v>0</v>
      </c>
    </row>
    <row r="108" spans="1:12" ht="15" x14ac:dyDescent="0.25">
      <c r="A108" s="428">
        <f t="shared" si="46"/>
        <v>29</v>
      </c>
      <c r="B108" s="429">
        <f t="shared" si="44"/>
        <v>2048</v>
      </c>
      <c r="C108" s="142">
        <f t="shared" ref="C108:L108" si="75">C71/1000</f>
        <v>0</v>
      </c>
      <c r="D108" s="142">
        <f t="shared" si="75"/>
        <v>0</v>
      </c>
      <c r="E108" s="142">
        <f t="shared" si="75"/>
        <v>0</v>
      </c>
      <c r="F108" s="194">
        <f t="shared" si="75"/>
        <v>0</v>
      </c>
      <c r="G108" s="201">
        <f t="shared" si="75"/>
        <v>0</v>
      </c>
      <c r="H108" s="142">
        <f t="shared" si="75"/>
        <v>0</v>
      </c>
      <c r="I108" s="143">
        <f t="shared" si="75"/>
        <v>0</v>
      </c>
      <c r="J108" s="197">
        <f t="shared" si="75"/>
        <v>0</v>
      </c>
      <c r="K108" s="142">
        <f t="shared" si="75"/>
        <v>0</v>
      </c>
      <c r="L108" s="143">
        <f t="shared" si="75"/>
        <v>0</v>
      </c>
    </row>
    <row r="109" spans="1:12" ht="15" x14ac:dyDescent="0.25">
      <c r="A109" s="428">
        <f t="shared" si="46"/>
        <v>30</v>
      </c>
      <c r="B109" s="429">
        <f t="shared" si="44"/>
        <v>2049</v>
      </c>
      <c r="C109" s="142">
        <f t="shared" ref="C109:L109" si="76">C72/1000</f>
        <v>0</v>
      </c>
      <c r="D109" s="142">
        <f t="shared" si="76"/>
        <v>0</v>
      </c>
      <c r="E109" s="142">
        <f t="shared" si="76"/>
        <v>0</v>
      </c>
      <c r="F109" s="194">
        <f t="shared" si="76"/>
        <v>0</v>
      </c>
      <c r="G109" s="201">
        <f t="shared" si="76"/>
        <v>0</v>
      </c>
      <c r="H109" s="142">
        <f t="shared" si="76"/>
        <v>0</v>
      </c>
      <c r="I109" s="143">
        <f t="shared" si="76"/>
        <v>0</v>
      </c>
      <c r="J109" s="197">
        <f t="shared" si="76"/>
        <v>0</v>
      </c>
      <c r="K109" s="142">
        <f t="shared" si="76"/>
        <v>0</v>
      </c>
      <c r="L109" s="143">
        <f t="shared" si="76"/>
        <v>0</v>
      </c>
    </row>
    <row r="110" spans="1:12" ht="15" thickBot="1" x14ac:dyDescent="0.25">
      <c r="A110" s="630" t="s">
        <v>0</v>
      </c>
      <c r="B110" s="631"/>
      <c r="C110" s="149">
        <f t="shared" ref="C110:L110" si="77">C73/1000</f>
        <v>1073</v>
      </c>
      <c r="D110" s="149">
        <f t="shared" si="77"/>
        <v>2042</v>
      </c>
      <c r="E110" s="149">
        <f t="shared" si="77"/>
        <v>11957</v>
      </c>
      <c r="F110" s="195">
        <f t="shared" si="77"/>
        <v>22562</v>
      </c>
      <c r="G110" s="202">
        <f t="shared" si="77"/>
        <v>13030</v>
      </c>
      <c r="H110" s="149">
        <f t="shared" si="77"/>
        <v>24604</v>
      </c>
      <c r="I110" s="150">
        <f t="shared" si="77"/>
        <v>37634</v>
      </c>
      <c r="J110" s="198">
        <f t="shared" si="77"/>
        <v>10673</v>
      </c>
      <c r="K110" s="149">
        <f t="shared" si="77"/>
        <v>20770</v>
      </c>
      <c r="L110" s="150">
        <f t="shared" si="77"/>
        <v>31443</v>
      </c>
    </row>
  </sheetData>
  <mergeCells count="21">
    <mergeCell ref="J38:L38"/>
    <mergeCell ref="A36:B36"/>
    <mergeCell ref="G1:I1"/>
    <mergeCell ref="J1:L1"/>
    <mergeCell ref="E1:F1"/>
    <mergeCell ref="C1:D1"/>
    <mergeCell ref="A1:A2"/>
    <mergeCell ref="B1:B2"/>
    <mergeCell ref="A38:A39"/>
    <mergeCell ref="B38:B39"/>
    <mergeCell ref="C38:D38"/>
    <mergeCell ref="E38:F38"/>
    <mergeCell ref="G38:I38"/>
    <mergeCell ref="J75:L75"/>
    <mergeCell ref="A110:B110"/>
    <mergeCell ref="A73:B73"/>
    <mergeCell ref="A75:A76"/>
    <mergeCell ref="B75:B76"/>
    <mergeCell ref="C75:D75"/>
    <mergeCell ref="E75:F75"/>
    <mergeCell ref="G75:I75"/>
  </mergeCells>
  <pageMargins left="0.25" right="0.25" top="0.4" bottom="0.4" header="0.3" footer="0.3"/>
  <pageSetup scale="9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zoomScaleSheetLayoutView="95" workbookViewId="0">
      <selection activeCell="A2" sqref="A2:B2"/>
    </sheetView>
  </sheetViews>
  <sheetFormatPr defaultRowHeight="12.75" x14ac:dyDescent="0.2"/>
  <cols>
    <col min="1" max="2" width="9.140625" style="1"/>
    <col min="3" max="10" width="14.7109375" style="1" customWidth="1"/>
    <col min="11" max="16384" width="9.140625" style="1"/>
  </cols>
  <sheetData>
    <row r="1" spans="1:10" x14ac:dyDescent="0.2">
      <c r="A1" s="642" t="s">
        <v>129</v>
      </c>
      <c r="B1" s="643"/>
      <c r="C1" s="643"/>
      <c r="D1" s="643"/>
      <c r="E1" s="643"/>
      <c r="F1" s="643"/>
      <c r="G1" s="643"/>
      <c r="H1" s="643"/>
      <c r="I1" s="643"/>
      <c r="J1" s="644"/>
    </row>
    <row r="2" spans="1:10" s="219" customFormat="1" ht="38.25" x14ac:dyDescent="0.2">
      <c r="A2" s="580" t="s">
        <v>170</v>
      </c>
      <c r="B2" s="582"/>
      <c r="C2" s="34" t="s">
        <v>168</v>
      </c>
      <c r="D2" s="34" t="s">
        <v>128</v>
      </c>
      <c r="E2" s="34" t="s">
        <v>123</v>
      </c>
      <c r="F2" s="34" t="s">
        <v>284</v>
      </c>
      <c r="G2" s="34" t="s">
        <v>240</v>
      </c>
      <c r="H2" s="34" t="s">
        <v>241</v>
      </c>
      <c r="I2" s="34" t="s">
        <v>242</v>
      </c>
      <c r="J2" s="221" t="s">
        <v>171</v>
      </c>
    </row>
    <row r="3" spans="1:10" s="361" customFormat="1" ht="25.5" x14ac:dyDescent="0.2">
      <c r="A3" s="580" t="s">
        <v>130</v>
      </c>
      <c r="B3" s="367" t="s">
        <v>169</v>
      </c>
      <c r="C3" s="359">
        <v>50</v>
      </c>
      <c r="D3" s="359">
        <v>30</v>
      </c>
      <c r="E3" s="359">
        <v>50</v>
      </c>
      <c r="F3" s="359" t="s">
        <v>143</v>
      </c>
      <c r="G3" s="359">
        <v>50</v>
      </c>
      <c r="H3" s="359">
        <v>30</v>
      </c>
      <c r="I3" s="359">
        <v>50</v>
      </c>
      <c r="J3" s="360" t="s">
        <v>143</v>
      </c>
    </row>
    <row r="4" spans="1:10" s="219" customFormat="1" x14ac:dyDescent="0.2">
      <c r="A4" s="580"/>
      <c r="B4" s="34" t="s">
        <v>2</v>
      </c>
      <c r="C4" s="582" t="s">
        <v>129</v>
      </c>
      <c r="D4" s="582"/>
      <c r="E4" s="582"/>
      <c r="F4" s="582"/>
      <c r="G4" s="582"/>
      <c r="H4" s="582"/>
      <c r="I4" s="582"/>
      <c r="J4" s="584"/>
    </row>
    <row r="5" spans="1:10" x14ac:dyDescent="0.2">
      <c r="A5" s="17">
        <v>-1</v>
      </c>
      <c r="B5" s="4">
        <v>2018</v>
      </c>
      <c r="C5" s="29">
        <f>'T24 Cost Estimates'!E27</f>
        <v>11550000</v>
      </c>
      <c r="D5" s="29">
        <f>'T24 Cost Estimates'!E35</f>
        <v>11012000</v>
      </c>
      <c r="E5" s="29">
        <f>'T24 Cost Estimates'!E13</f>
        <v>10707000</v>
      </c>
      <c r="F5" s="28">
        <f>SUM(C5:E5)</f>
        <v>33269000</v>
      </c>
      <c r="G5" s="28">
        <f>C5/((1+'T3 Inputs'!$B$4)^(B5-2016))</f>
        <v>10088217.311555594</v>
      </c>
      <c r="H5" s="28">
        <f>D5/((1+'T3 Inputs'!$B$4)^(B5-2016))</f>
        <v>9618307.2757446058</v>
      </c>
      <c r="I5" s="28">
        <f>E5/((1+'T3 Inputs'!$B$4)^(B5-2016))</f>
        <v>9351908.4636212774</v>
      </c>
      <c r="J5" s="31">
        <f>F5/((1+'T3 Inputs'!$B$4)^(B5-2016))</f>
        <v>29058433.050921477</v>
      </c>
    </row>
    <row r="6" spans="1:10" x14ac:dyDescent="0.2">
      <c r="A6" s="17">
        <v>0</v>
      </c>
      <c r="B6" s="4">
        <f>B5+1</f>
        <v>2019</v>
      </c>
      <c r="C6" s="28">
        <f>(($C$3-A6)/$C$3)*$C$5</f>
        <v>11550000</v>
      </c>
      <c r="D6" s="28">
        <f>(($D$3-A6)/$D$3)*$D$5</f>
        <v>11012000</v>
      </c>
      <c r="E6" s="28">
        <f>(($E$3-A6)/$E$3)*$E$5</f>
        <v>10707000</v>
      </c>
      <c r="F6" s="28">
        <f t="shared" ref="F6:F34" si="0">SUM(C6:E6)</f>
        <v>33269000</v>
      </c>
      <c r="G6" s="28">
        <f>C6/((1+'T3 Inputs'!$B$4)^(B6-2016))</f>
        <v>9428240.47808934</v>
      </c>
      <c r="H6" s="28">
        <f>D6/((1+'T3 Inputs'!$B$4)^(B6-2016))</f>
        <v>8989072.2203220613</v>
      </c>
      <c r="I6" s="28">
        <f>E6/((1+'T3 Inputs'!$B$4)^(B6-2016))</f>
        <v>8740101.3678703513</v>
      </c>
      <c r="J6" s="31">
        <f>F6/((1+'T3 Inputs'!$B$4)^(B6-2016))</f>
        <v>27157414.066281755</v>
      </c>
    </row>
    <row r="7" spans="1:10" x14ac:dyDescent="0.2">
      <c r="A7" s="17">
        <f t="shared" ref="A7:A36" si="1">A6+1</f>
        <v>1</v>
      </c>
      <c r="B7" s="4">
        <f t="shared" ref="B7:B36" si="2">B6+1</f>
        <v>2020</v>
      </c>
      <c r="C7" s="28">
        <f t="shared" ref="C7:C35" si="3">(($C$3-A7)/$C$3)*$C$5</f>
        <v>11319000</v>
      </c>
      <c r="D7" s="28">
        <f t="shared" ref="D7:D35" si="4">(($D$3-A7)/$D$3)*$D$5</f>
        <v>10644933.333333334</v>
      </c>
      <c r="E7" s="28">
        <f t="shared" ref="E7:E35" si="5">(($E$3-A7)/$E$3)*$E$5</f>
        <v>10492860</v>
      </c>
      <c r="F7" s="28">
        <f t="shared" si="0"/>
        <v>32456793.333333336</v>
      </c>
      <c r="G7" s="28">
        <f>C7/((1+'T3 Inputs'!$B$4)^(B7-2016))</f>
        <v>8635210.9051659387</v>
      </c>
      <c r="H7" s="28">
        <f>D7/((1+'T3 Inputs'!$B$4)^(B7-2016))</f>
        <v>8120968.6725651035</v>
      </c>
      <c r="I7" s="28">
        <f>E7/((1+'T3 Inputs'!$B$4)^(B7-2016))</f>
        <v>8004952.6546849953</v>
      </c>
      <c r="J7" s="31">
        <f>F7/((1+'T3 Inputs'!$B$4)^(B7-2016))</f>
        <v>24761132.232416037</v>
      </c>
    </row>
    <row r="8" spans="1:10" x14ac:dyDescent="0.2">
      <c r="A8" s="17">
        <f t="shared" si="1"/>
        <v>2</v>
      </c>
      <c r="B8" s="4">
        <f t="shared" si="2"/>
        <v>2021</v>
      </c>
      <c r="C8" s="28">
        <f t="shared" si="3"/>
        <v>11088000</v>
      </c>
      <c r="D8" s="28">
        <f t="shared" si="4"/>
        <v>10277866.666666666</v>
      </c>
      <c r="E8" s="28">
        <f t="shared" si="5"/>
        <v>10278720</v>
      </c>
      <c r="F8" s="28">
        <f t="shared" si="0"/>
        <v>31644586.666666664</v>
      </c>
      <c r="G8" s="28">
        <f>C8/((1+'T3 Inputs'!$B$4)^(B8-2016))</f>
        <v>7905590.7581149144</v>
      </c>
      <c r="H8" s="28">
        <f>D8/((1+'T3 Inputs'!$B$4)^(B8-2016))</f>
        <v>7327976.8879092121</v>
      </c>
      <c r="I8" s="28">
        <f>E8/((1+'T3 Inputs'!$B$4)^(B8-2016))</f>
        <v>7328585.3027823716</v>
      </c>
      <c r="J8" s="31">
        <f>F8/((1+'T3 Inputs'!$B$4)^(B8-2016))</f>
        <v>22562152.948806498</v>
      </c>
    </row>
    <row r="9" spans="1:10" x14ac:dyDescent="0.2">
      <c r="A9" s="17">
        <f t="shared" si="1"/>
        <v>3</v>
      </c>
      <c r="B9" s="4">
        <f t="shared" si="2"/>
        <v>2022</v>
      </c>
      <c r="C9" s="28">
        <f t="shared" si="3"/>
        <v>10857000</v>
      </c>
      <c r="D9" s="28">
        <f t="shared" si="4"/>
        <v>9910800</v>
      </c>
      <c r="E9" s="28">
        <f t="shared" si="5"/>
        <v>10064580</v>
      </c>
      <c r="F9" s="28">
        <f t="shared" si="0"/>
        <v>30832380</v>
      </c>
      <c r="G9" s="28">
        <f>C9/((1+'T3 Inputs'!$B$4)^(B9-2016))</f>
        <v>7234477.5239758762</v>
      </c>
      <c r="H9" s="28">
        <f>D9/((1+'T3 Inputs'!$B$4)^(B9-2016))</f>
        <v>6603984.5118006924</v>
      </c>
      <c r="I9" s="28">
        <f>E9/((1+'T3 Inputs'!$B$4)^(B9-2016))</f>
        <v>6706454.6189791961</v>
      </c>
      <c r="J9" s="31">
        <f>F9/((1+'T3 Inputs'!$B$4)^(B9-2016))</f>
        <v>20544916.654755764</v>
      </c>
    </row>
    <row r="10" spans="1:10" x14ac:dyDescent="0.2">
      <c r="A10" s="17">
        <f t="shared" si="1"/>
        <v>4</v>
      </c>
      <c r="B10" s="4">
        <f t="shared" si="2"/>
        <v>2023</v>
      </c>
      <c r="C10" s="28">
        <f t="shared" si="3"/>
        <v>10626000</v>
      </c>
      <c r="D10" s="28">
        <f t="shared" si="4"/>
        <v>9543733.333333334</v>
      </c>
      <c r="E10" s="28">
        <f t="shared" si="5"/>
        <v>9850440</v>
      </c>
      <c r="F10" s="28">
        <f t="shared" si="0"/>
        <v>30020173.333333336</v>
      </c>
      <c r="G10" s="28">
        <f>C10/((1+'T3 Inputs'!$B$4)^(B10-2016))</f>
        <v>6617338.7572656656</v>
      </c>
      <c r="H10" s="28">
        <f>D10/((1+'T3 Inputs'!$B$4)^(B10-2016))</f>
        <v>5943357.4699487025</v>
      </c>
      <c r="I10" s="28">
        <f>E10/((1+'T3 Inputs'!$B$4)^(B10-2016))</f>
        <v>6134358.967449652</v>
      </c>
      <c r="J10" s="31">
        <f>F10/((1+'T3 Inputs'!$B$4)^(B10-2016))</f>
        <v>18695055.19466402</v>
      </c>
    </row>
    <row r="11" spans="1:10" x14ac:dyDescent="0.2">
      <c r="A11" s="17">
        <f t="shared" si="1"/>
        <v>5</v>
      </c>
      <c r="B11" s="4">
        <f t="shared" si="2"/>
        <v>2024</v>
      </c>
      <c r="C11" s="28">
        <f t="shared" si="3"/>
        <v>10395000</v>
      </c>
      <c r="D11" s="28">
        <f t="shared" si="4"/>
        <v>9176666.6666666679</v>
      </c>
      <c r="E11" s="28">
        <f t="shared" si="5"/>
        <v>9636300</v>
      </c>
      <c r="F11" s="28">
        <f t="shared" si="0"/>
        <v>29207966.666666668</v>
      </c>
      <c r="G11" s="28">
        <f>C11/((1+'T3 Inputs'!$B$4)^(B11-2016))</f>
        <v>6049984.6419535745</v>
      </c>
      <c r="H11" s="28">
        <f>D11/((1+'T3 Inputs'!$B$4)^(B11-2016))</f>
        <v>5340903.5495585036</v>
      </c>
      <c r="I11" s="28">
        <f>E11/((1+'T3 Inputs'!$B$4)^(B11-2016))</f>
        <v>5608414.3343200795</v>
      </c>
      <c r="J11" s="31">
        <f>F11/((1+'T3 Inputs'!$B$4)^(B11-2016))</f>
        <v>16999302.525832158</v>
      </c>
    </row>
    <row r="12" spans="1:10" x14ac:dyDescent="0.2">
      <c r="A12" s="17">
        <f t="shared" si="1"/>
        <v>6</v>
      </c>
      <c r="B12" s="4">
        <f t="shared" si="2"/>
        <v>2025</v>
      </c>
      <c r="C12" s="28">
        <f t="shared" si="3"/>
        <v>10164000</v>
      </c>
      <c r="D12" s="28">
        <f t="shared" si="4"/>
        <v>8809600</v>
      </c>
      <c r="E12" s="28">
        <f t="shared" si="5"/>
        <v>9422160</v>
      </c>
      <c r="F12" s="28">
        <f t="shared" si="0"/>
        <v>28395760</v>
      </c>
      <c r="G12" s="28">
        <f>C12/((1+'T3 Inputs'!$B$4)^(B12-2016))</f>
        <v>5528542.5596252801</v>
      </c>
      <c r="H12" s="28">
        <f>D12/((1+'T3 Inputs'!$B$4)^(B12-2016))</f>
        <v>4791838.6986693107</v>
      </c>
      <c r="I12" s="28">
        <f>E12/((1+'T3 Inputs'!$B$4)^(B12-2016))</f>
        <v>5125030.7520266557</v>
      </c>
      <c r="J12" s="31">
        <f>F12/((1+'T3 Inputs'!$B$4)^(B12-2016))</f>
        <v>15445412.010321246</v>
      </c>
    </row>
    <row r="13" spans="1:10" x14ac:dyDescent="0.2">
      <c r="A13" s="17">
        <f t="shared" si="1"/>
        <v>7</v>
      </c>
      <c r="B13" s="4">
        <f t="shared" si="2"/>
        <v>2026</v>
      </c>
      <c r="C13" s="28">
        <f t="shared" si="3"/>
        <v>9933000</v>
      </c>
      <c r="D13" s="28">
        <f t="shared" si="4"/>
        <v>8442533.333333334</v>
      </c>
      <c r="E13" s="28">
        <f t="shared" si="5"/>
        <v>9208020</v>
      </c>
      <c r="F13" s="28">
        <f t="shared" si="0"/>
        <v>27583553.333333336</v>
      </c>
      <c r="G13" s="28">
        <f>C13/((1+'T3 Inputs'!$B$4)^(B13-2016))</f>
        <v>5049433.5187741518</v>
      </c>
      <c r="H13" s="28">
        <f>D13/((1+'T3 Inputs'!$B$4)^(B13-2016))</f>
        <v>4291755.8438237598</v>
      </c>
      <c r="I13" s="28">
        <f>E13/((1+'T3 Inputs'!$B$4)^(B13-2016))</f>
        <v>4680890.4489623243</v>
      </c>
      <c r="J13" s="31">
        <f>F13/((1+'T3 Inputs'!$B$4)^(B13-2016))</f>
        <v>14022079.811560236</v>
      </c>
    </row>
    <row r="14" spans="1:10" x14ac:dyDescent="0.2">
      <c r="A14" s="17">
        <f t="shared" si="1"/>
        <v>8</v>
      </c>
      <c r="B14" s="4">
        <f t="shared" si="2"/>
        <v>2027</v>
      </c>
      <c r="C14" s="28">
        <f t="shared" si="3"/>
        <v>9702000</v>
      </c>
      <c r="D14" s="28">
        <f t="shared" si="4"/>
        <v>8075466.666666666</v>
      </c>
      <c r="E14" s="28">
        <f t="shared" si="5"/>
        <v>8993880</v>
      </c>
      <c r="F14" s="28">
        <f t="shared" si="0"/>
        <v>26771346.666666664</v>
      </c>
      <c r="G14" s="28">
        <f>C14/((1+'T3 Inputs'!$B$4)^(B14-2016))</f>
        <v>4609350.3105523661</v>
      </c>
      <c r="H14" s="28">
        <f>D14/((1+'T3 Inputs'!$B$4)^(B14-2016))</f>
        <v>3836596.0408014096</v>
      </c>
      <c r="I14" s="28">
        <f>E14/((1+'T3 Inputs'!$B$4)^(B14-2016))</f>
        <v>4272927.599574388</v>
      </c>
      <c r="J14" s="31">
        <f>F14/((1+'T3 Inputs'!$B$4)^(B14-2016))</f>
        <v>12718873.950928163</v>
      </c>
    </row>
    <row r="15" spans="1:10" x14ac:dyDescent="0.2">
      <c r="A15" s="17">
        <f t="shared" si="1"/>
        <v>9</v>
      </c>
      <c r="B15" s="4">
        <f t="shared" si="2"/>
        <v>2028</v>
      </c>
      <c r="C15" s="28">
        <f t="shared" si="3"/>
        <v>9471000</v>
      </c>
      <c r="D15" s="28">
        <f t="shared" si="4"/>
        <v>7708399.9999999991</v>
      </c>
      <c r="E15" s="28">
        <f t="shared" si="5"/>
        <v>8779740</v>
      </c>
      <c r="F15" s="28">
        <f t="shared" si="0"/>
        <v>25959140</v>
      </c>
      <c r="G15" s="28">
        <f>C15/((1+'T3 Inputs'!$B$4)^(B15-2016))</f>
        <v>4205237.2659690036</v>
      </c>
      <c r="H15" s="28">
        <f>D15/((1+'T3 Inputs'!$B$4)^(B15-2016))</f>
        <v>3422621.7866112837</v>
      </c>
      <c r="I15" s="28">
        <f>E15/((1+'T3 Inputs'!$B$4)^(B15-2016))</f>
        <v>3898309.5590242534</v>
      </c>
      <c r="J15" s="31">
        <f>F15/((1+'T3 Inputs'!$B$4)^(B15-2016))</f>
        <v>11526168.611604542</v>
      </c>
    </row>
    <row r="16" spans="1:10" x14ac:dyDescent="0.2">
      <c r="A16" s="17">
        <f t="shared" si="1"/>
        <v>10</v>
      </c>
      <c r="B16" s="4">
        <f t="shared" si="2"/>
        <v>2029</v>
      </c>
      <c r="C16" s="28">
        <f t="shared" si="3"/>
        <v>9240000</v>
      </c>
      <c r="D16" s="28">
        <f t="shared" si="4"/>
        <v>7341333.333333333</v>
      </c>
      <c r="E16" s="28">
        <f t="shared" si="5"/>
        <v>8565600</v>
      </c>
      <c r="F16" s="28">
        <f t="shared" si="0"/>
        <v>25146933.333333332</v>
      </c>
      <c r="G16" s="28">
        <f>C16/((1+'T3 Inputs'!$B$4)^(B16-2016))</f>
        <v>3834271.4984900877</v>
      </c>
      <c r="H16" s="28">
        <f>D16/((1+'T3 Inputs'!$B$4)^(B16-2016))</f>
        <v>3046392.3334323838</v>
      </c>
      <c r="I16" s="28">
        <f>E16/((1+'T3 Inputs'!$B$4)^(B16-2016))</f>
        <v>3554419.474834058</v>
      </c>
      <c r="J16" s="31">
        <f>F16/((1+'T3 Inputs'!$B$4)^(B16-2016))</f>
        <v>10435083.306756528</v>
      </c>
    </row>
    <row r="17" spans="1:10" x14ac:dyDescent="0.2">
      <c r="A17" s="17">
        <f t="shared" si="1"/>
        <v>11</v>
      </c>
      <c r="B17" s="4">
        <f t="shared" si="2"/>
        <v>2030</v>
      </c>
      <c r="C17" s="28">
        <f t="shared" si="3"/>
        <v>9009000</v>
      </c>
      <c r="D17" s="28">
        <f t="shared" si="4"/>
        <v>6974266.666666666</v>
      </c>
      <c r="E17" s="28">
        <f t="shared" si="5"/>
        <v>8351460</v>
      </c>
      <c r="F17" s="28">
        <f t="shared" si="0"/>
        <v>24334726.666666664</v>
      </c>
      <c r="G17" s="28">
        <f>C17/((1+'T3 Inputs'!$B$4)^(B17-2016))</f>
        <v>3493845.5243250802</v>
      </c>
      <c r="H17" s="28">
        <f>D17/((1+'T3 Inputs'!$B$4)^(B17-2016))</f>
        <v>2704740.8567857617</v>
      </c>
      <c r="I17" s="28">
        <f>E17/((1+'T3 Inputs'!$B$4)^(B17-2016))</f>
        <v>3238840.1756665483</v>
      </c>
      <c r="J17" s="31">
        <f>F17/((1+'T3 Inputs'!$B$4)^(B17-2016))</f>
        <v>9437426.5567773897</v>
      </c>
    </row>
    <row r="18" spans="1:10" x14ac:dyDescent="0.2">
      <c r="A18" s="17">
        <f t="shared" si="1"/>
        <v>12</v>
      </c>
      <c r="B18" s="4">
        <f t="shared" si="2"/>
        <v>2031</v>
      </c>
      <c r="C18" s="28">
        <f t="shared" si="3"/>
        <v>8778000</v>
      </c>
      <c r="D18" s="28">
        <f t="shared" si="4"/>
        <v>6607200</v>
      </c>
      <c r="E18" s="28">
        <f t="shared" si="5"/>
        <v>8137320</v>
      </c>
      <c r="F18" s="28">
        <f t="shared" si="0"/>
        <v>23522520</v>
      </c>
      <c r="G18" s="28">
        <f>C18/((1+'T3 Inputs'!$B$4)^(B18-2016))</f>
        <v>3181551.1604206334</v>
      </c>
      <c r="H18" s="28">
        <f>D18/((1+'T3 Inputs'!$B$4)^(B18-2016))</f>
        <v>2394753.3409809987</v>
      </c>
      <c r="I18" s="28">
        <f>E18/((1+'T3 Inputs'!$B$4)^(B18-2016))</f>
        <v>2949339.2445561662</v>
      </c>
      <c r="J18" s="31">
        <f>F18/((1+'T3 Inputs'!$B$4)^(B18-2016))</f>
        <v>8525643.7459577974</v>
      </c>
    </row>
    <row r="19" spans="1:10" x14ac:dyDescent="0.2">
      <c r="A19" s="17">
        <f t="shared" si="1"/>
        <v>13</v>
      </c>
      <c r="B19" s="4">
        <f t="shared" si="2"/>
        <v>2032</v>
      </c>
      <c r="C19" s="28">
        <f t="shared" si="3"/>
        <v>8547000</v>
      </c>
      <c r="D19" s="28">
        <f t="shared" si="4"/>
        <v>6240133.333333333</v>
      </c>
      <c r="E19" s="28">
        <f t="shared" si="5"/>
        <v>7923180</v>
      </c>
      <c r="F19" s="28">
        <f t="shared" si="0"/>
        <v>22710313.333333332</v>
      </c>
      <c r="G19" s="28">
        <f>C19/((1+'T3 Inputs'!$B$4)^(B19-2016))</f>
        <v>2895164.6073675221</v>
      </c>
      <c r="H19" s="28">
        <f>D19/((1+'T3 Inputs'!$B$4)^(B19-2016))</f>
        <v>2113749.0548638101</v>
      </c>
      <c r="I19" s="28">
        <f>E19/((1+'T3 Inputs'!$B$4)^(B19-2016))</f>
        <v>2683855.1905700485</v>
      </c>
      <c r="J19" s="31">
        <f>F19/((1+'T3 Inputs'!$B$4)^(B19-2016))</f>
        <v>7692768.8528013797</v>
      </c>
    </row>
    <row r="20" spans="1:10" x14ac:dyDescent="0.2">
      <c r="A20" s="17">
        <f t="shared" si="1"/>
        <v>14</v>
      </c>
      <c r="B20" s="4">
        <f t="shared" si="2"/>
        <v>2033</v>
      </c>
      <c r="C20" s="28">
        <f t="shared" si="3"/>
        <v>8316000</v>
      </c>
      <c r="D20" s="28">
        <f t="shared" si="4"/>
        <v>5873066.666666667</v>
      </c>
      <c r="E20" s="28">
        <f t="shared" si="5"/>
        <v>7709040</v>
      </c>
      <c r="F20" s="28">
        <f t="shared" si="0"/>
        <v>21898106.666666668</v>
      </c>
      <c r="G20" s="28">
        <f>C20/((1+'T3 Inputs'!$B$4)^(B20-2016))</f>
        <v>2632632.6310995403</v>
      </c>
      <c r="H20" s="28">
        <f>D20/((1+'T3 Inputs'!$B$4)^(B20-2016))</f>
        <v>1859262.5001550834</v>
      </c>
      <c r="I20" s="28">
        <f>E20/((1+'T3 Inputs'!$B$4)^(B20-2016))</f>
        <v>2440484.639063444</v>
      </c>
      <c r="J20" s="31">
        <f>F20/((1+'T3 Inputs'!$B$4)^(B20-2016))</f>
        <v>6932379.7703180676</v>
      </c>
    </row>
    <row r="21" spans="1:10" x14ac:dyDescent="0.2">
      <c r="A21" s="17">
        <f t="shared" si="1"/>
        <v>15</v>
      </c>
      <c r="B21" s="4">
        <f t="shared" si="2"/>
        <v>2034</v>
      </c>
      <c r="C21" s="28">
        <f t="shared" si="3"/>
        <v>8084999.9999999991</v>
      </c>
      <c r="D21" s="28">
        <f t="shared" si="4"/>
        <v>5506000</v>
      </c>
      <c r="E21" s="28">
        <f t="shared" si="5"/>
        <v>7494899.9999999991</v>
      </c>
      <c r="F21" s="28">
        <f t="shared" si="0"/>
        <v>21085900</v>
      </c>
      <c r="G21" s="28">
        <f>C21/((1+'T3 Inputs'!$B$4)^(B21-2016))</f>
        <v>2392059.7634601216</v>
      </c>
      <c r="H21" s="28">
        <f>D21/((1+'T3 Inputs'!$B$4)^(B21-2016))</f>
        <v>1629026.7232667201</v>
      </c>
      <c r="I21" s="28">
        <f>E21/((1+'T3 Inputs'!$B$4)^(B21-2016))</f>
        <v>2217470.4664387465</v>
      </c>
      <c r="J21" s="31">
        <f>F21/((1+'T3 Inputs'!$B$4)^(B21-2016))</f>
        <v>6238556.9531655889</v>
      </c>
    </row>
    <row r="22" spans="1:10" x14ac:dyDescent="0.2">
      <c r="A22" s="17">
        <f t="shared" si="1"/>
        <v>16</v>
      </c>
      <c r="B22" s="4">
        <f t="shared" si="2"/>
        <v>2035</v>
      </c>
      <c r="C22" s="28">
        <f t="shared" si="3"/>
        <v>7854000.0000000009</v>
      </c>
      <c r="D22" s="28">
        <f t="shared" si="4"/>
        <v>5138933.333333333</v>
      </c>
      <c r="E22" s="28">
        <f t="shared" si="5"/>
        <v>7280760.0000000009</v>
      </c>
      <c r="F22" s="28">
        <f t="shared" si="0"/>
        <v>20273693.333333336</v>
      </c>
      <c r="G22" s="28">
        <f>C22/((1+'T3 Inputs'!$B$4)^(B22-2016))</f>
        <v>2171696.4474671334</v>
      </c>
      <c r="H22" s="28">
        <f>D22/((1+'T3 Inputs'!$B$4)^(B22-2016))</f>
        <v>1420957.8894538367</v>
      </c>
      <c r="I22" s="28">
        <f>E22/((1+'T3 Inputs'!$B$4)^(B22-2016))</f>
        <v>2013190.8106519999</v>
      </c>
      <c r="J22" s="31">
        <f>F22/((1+'T3 Inputs'!$B$4)^(B22-2016))</f>
        <v>5605845.1475729709</v>
      </c>
    </row>
    <row r="23" spans="1:10" x14ac:dyDescent="0.2">
      <c r="A23" s="17">
        <f t="shared" si="1"/>
        <v>17</v>
      </c>
      <c r="B23" s="4">
        <f t="shared" si="2"/>
        <v>2036</v>
      </c>
      <c r="C23" s="28">
        <f t="shared" si="3"/>
        <v>7623000</v>
      </c>
      <c r="D23" s="28">
        <f t="shared" si="4"/>
        <v>4771866.666666667</v>
      </c>
      <c r="E23" s="28">
        <f t="shared" si="5"/>
        <v>7066620</v>
      </c>
      <c r="F23" s="28">
        <f t="shared" si="0"/>
        <v>19461486.666666668</v>
      </c>
      <c r="G23" s="28">
        <f>C23/((1+'T3 Inputs'!$B$4)^(B23-2016))</f>
        <v>1969928.0584501212</v>
      </c>
      <c r="H23" s="28">
        <f>D23/((1+'T3 Inputs'!$B$4)^(B23-2016))</f>
        <v>1233141.0255607397</v>
      </c>
      <c r="I23" s="28">
        <f>E23/((1+'T3 Inputs'!$B$4)^(B23-2016))</f>
        <v>1826148.8936645407</v>
      </c>
      <c r="J23" s="31">
        <f>F23/((1+'T3 Inputs'!$B$4)^(B23-2016))</f>
        <v>5029217.9776754016</v>
      </c>
    </row>
    <row r="24" spans="1:10" x14ac:dyDescent="0.2">
      <c r="A24" s="17">
        <f t="shared" si="1"/>
        <v>18</v>
      </c>
      <c r="B24" s="4">
        <f t="shared" si="2"/>
        <v>2037</v>
      </c>
      <c r="C24" s="28">
        <f t="shared" si="3"/>
        <v>7392000</v>
      </c>
      <c r="D24" s="28">
        <f t="shared" si="4"/>
        <v>4404800</v>
      </c>
      <c r="E24" s="28">
        <f t="shared" si="5"/>
        <v>6852480</v>
      </c>
      <c r="F24" s="28">
        <f t="shared" si="0"/>
        <v>18649280</v>
      </c>
      <c r="G24" s="28">
        <f>C24/((1+'T3 Inputs'!$B$4)^(B24-2016))</f>
        <v>1785264.7371963714</v>
      </c>
      <c r="H24" s="28">
        <f>D24/((1+'T3 Inputs'!$B$4)^(B24-2016))</f>
        <v>1063816.844480868</v>
      </c>
      <c r="I24" s="28">
        <f>E24/((1+'T3 Inputs'!$B$4)^(B24-2016))</f>
        <v>1654963.5966373635</v>
      </c>
      <c r="J24" s="31">
        <f>F24/((1+'T3 Inputs'!$B$4)^(B24-2016))</f>
        <v>4504045.1783146029</v>
      </c>
    </row>
    <row r="25" spans="1:10" x14ac:dyDescent="0.2">
      <c r="A25" s="17">
        <f t="shared" si="1"/>
        <v>19</v>
      </c>
      <c r="B25" s="4">
        <f t="shared" si="2"/>
        <v>2038</v>
      </c>
      <c r="C25" s="28">
        <f t="shared" si="3"/>
        <v>7161000</v>
      </c>
      <c r="D25" s="28">
        <f t="shared" si="4"/>
        <v>4037733.333333333</v>
      </c>
      <c r="E25" s="28">
        <f t="shared" si="5"/>
        <v>6638340</v>
      </c>
      <c r="F25" s="28">
        <f t="shared" si="0"/>
        <v>17837073.333333332</v>
      </c>
      <c r="G25" s="28">
        <f>C25/((1+'T3 Inputs'!$B$4)^(B25-2016))</f>
        <v>1616331.9758495186</v>
      </c>
      <c r="H25" s="28">
        <f>D25/((1+'T3 Inputs'!$B$4)^(B25-2016))</f>
        <v>911369.57081694296</v>
      </c>
      <c r="I25" s="28">
        <f>E25/((1+'T3 Inputs'!$B$4)^(B25-2016))</f>
        <v>1498360.7329368652</v>
      </c>
      <c r="J25" s="31">
        <f>F25/((1+'T3 Inputs'!$B$4)^(B25-2016))</f>
        <v>4026062.2796033267</v>
      </c>
    </row>
    <row r="26" spans="1:10" x14ac:dyDescent="0.2">
      <c r="A26" s="17">
        <f t="shared" si="1"/>
        <v>20</v>
      </c>
      <c r="B26" s="4">
        <f t="shared" si="2"/>
        <v>2039</v>
      </c>
      <c r="C26" s="28">
        <f t="shared" si="3"/>
        <v>6930000</v>
      </c>
      <c r="D26" s="28">
        <f t="shared" si="4"/>
        <v>3670666.6666666665</v>
      </c>
      <c r="E26" s="28">
        <f t="shared" si="5"/>
        <v>6424200</v>
      </c>
      <c r="F26" s="28">
        <f t="shared" si="0"/>
        <v>17024866.666666664</v>
      </c>
      <c r="G26" s="28">
        <f>C26/((1+'T3 Inputs'!$B$4)^(B26-2016))</f>
        <v>1461861.90158232</v>
      </c>
      <c r="H26" s="28">
        <f>D26/((1+'T3 Inputs'!$B$4)^(B26-2016))</f>
        <v>774315.6931324919</v>
      </c>
      <c r="I26" s="28">
        <f>E26/((1+'T3 Inputs'!$B$4)^(B26-2016))</f>
        <v>1355164.9679863118</v>
      </c>
      <c r="J26" s="31">
        <f>F26/((1+'T3 Inputs'!$B$4)^(B26-2016))</f>
        <v>3591342.5627011228</v>
      </c>
    </row>
    <row r="27" spans="1:10" x14ac:dyDescent="0.2">
      <c r="A27" s="17">
        <f t="shared" si="1"/>
        <v>21</v>
      </c>
      <c r="B27" s="4">
        <f t="shared" si="2"/>
        <v>2040</v>
      </c>
      <c r="C27" s="28">
        <f t="shared" si="3"/>
        <v>6699000</v>
      </c>
      <c r="D27" s="28">
        <f t="shared" si="4"/>
        <v>3303600</v>
      </c>
      <c r="E27" s="28">
        <f t="shared" si="5"/>
        <v>6210060</v>
      </c>
      <c r="F27" s="28">
        <f t="shared" si="0"/>
        <v>16212660</v>
      </c>
      <c r="G27" s="28">
        <f>C27/((1+'T3 Inputs'!$B$4)^(B27-2016))</f>
        <v>1320685.2070369867</v>
      </c>
      <c r="H27" s="28">
        <f>D27/((1+'T3 Inputs'!$B$4)^(B27-2016))</f>
        <v>651293.57366284367</v>
      </c>
      <c r="I27" s="28">
        <f>E27/((1+'T3 Inputs'!$B$4)^(B27-2016))</f>
        <v>1224292.3386792224</v>
      </c>
      <c r="J27" s="31">
        <f>F27/((1+'T3 Inputs'!$B$4)^(B27-2016))</f>
        <v>3196271.1193790529</v>
      </c>
    </row>
    <row r="28" spans="1:10" x14ac:dyDescent="0.2">
      <c r="A28" s="17">
        <f t="shared" si="1"/>
        <v>22</v>
      </c>
      <c r="B28" s="4">
        <f t="shared" si="2"/>
        <v>2041</v>
      </c>
      <c r="C28" s="28">
        <f t="shared" si="3"/>
        <v>6468000.0000000009</v>
      </c>
      <c r="D28" s="28">
        <f t="shared" si="4"/>
        <v>2936533.3333333335</v>
      </c>
      <c r="E28" s="28">
        <f t="shared" si="5"/>
        <v>5995920.0000000009</v>
      </c>
      <c r="F28" s="28">
        <f t="shared" si="0"/>
        <v>15400453.333333336</v>
      </c>
      <c r="G28" s="28">
        <f>C28/((1+'T3 Inputs'!$B$4)^(B28-2016))</f>
        <v>1191723.6802138458</v>
      </c>
      <c r="H28" s="28">
        <f>D28/((1+'T3 Inputs'!$B$4)^(B28-2016))</f>
        <v>541053.85143330728</v>
      </c>
      <c r="I28" s="28">
        <f>E28/((1+'T3 Inputs'!$B$4)^(B28-2016))</f>
        <v>1104743.3284891469</v>
      </c>
      <c r="J28" s="31">
        <f>F28/((1+'T3 Inputs'!$B$4)^(B28-2016))</f>
        <v>2837520.8601362999</v>
      </c>
    </row>
    <row r="29" spans="1:10" x14ac:dyDescent="0.2">
      <c r="A29" s="17">
        <f t="shared" si="1"/>
        <v>23</v>
      </c>
      <c r="B29" s="4">
        <f t="shared" si="2"/>
        <v>2042</v>
      </c>
      <c r="C29" s="28">
        <f t="shared" si="3"/>
        <v>6237000</v>
      </c>
      <c r="D29" s="28">
        <f t="shared" si="4"/>
        <v>2569466.6666666665</v>
      </c>
      <c r="E29" s="28">
        <f t="shared" si="5"/>
        <v>5781780</v>
      </c>
      <c r="F29" s="28">
        <f t="shared" si="0"/>
        <v>14588246.666666666</v>
      </c>
      <c r="G29" s="28">
        <f>C29/((1+'T3 Inputs'!$B$4)^(B29-2016))</f>
        <v>1073983.2899123442</v>
      </c>
      <c r="H29" s="28">
        <f>D29/((1+'T3 Inputs'!$B$4)^(B29-2016))</f>
        <v>442450.57944312511</v>
      </c>
      <c r="I29" s="28">
        <f>E29/((1+'T3 Inputs'!$B$4)^(B29-2016))</f>
        <v>995596.45758367702</v>
      </c>
      <c r="J29" s="31">
        <f>F29/((1+'T3 Inputs'!$B$4)^(B29-2016))</f>
        <v>2512030.3269391465</v>
      </c>
    </row>
    <row r="30" spans="1:10" x14ac:dyDescent="0.2">
      <c r="A30" s="17">
        <f t="shared" si="1"/>
        <v>24</v>
      </c>
      <c r="B30" s="4">
        <f t="shared" si="2"/>
        <v>2043</v>
      </c>
      <c r="C30" s="28">
        <f t="shared" si="3"/>
        <v>6006000</v>
      </c>
      <c r="D30" s="28">
        <f t="shared" si="4"/>
        <v>2202400</v>
      </c>
      <c r="E30" s="28">
        <f t="shared" si="5"/>
        <v>5567640</v>
      </c>
      <c r="F30" s="28">
        <f t="shared" si="0"/>
        <v>13776040</v>
      </c>
      <c r="G30" s="28">
        <f>C30/((1+'T3 Inputs'!$B$4)^(B30-2016))</f>
        <v>966547.78600626322</v>
      </c>
      <c r="H30" s="28">
        <f>D30/((1+'T3 Inputs'!$B$4)^(B30-2016))</f>
        <v>354433.04094242328</v>
      </c>
      <c r="I30" s="28">
        <f>E30/((1+'T3 Inputs'!$B$4)^(B30-2016))</f>
        <v>896002.35019645549</v>
      </c>
      <c r="J30" s="31">
        <f>F30/((1+'T3 Inputs'!$B$4)^(B30-2016))</f>
        <v>2216983.1771451421</v>
      </c>
    </row>
    <row r="31" spans="1:10" x14ac:dyDescent="0.2">
      <c r="A31" s="17">
        <f t="shared" si="1"/>
        <v>25</v>
      </c>
      <c r="B31" s="4">
        <f t="shared" si="2"/>
        <v>2044</v>
      </c>
      <c r="C31" s="28">
        <f t="shared" si="3"/>
        <v>5775000</v>
      </c>
      <c r="D31" s="28">
        <f t="shared" si="4"/>
        <v>1835333.3333333333</v>
      </c>
      <c r="E31" s="28">
        <f t="shared" si="5"/>
        <v>5353500</v>
      </c>
      <c r="F31" s="28">
        <f t="shared" si="0"/>
        <v>12963833.333333332</v>
      </c>
      <c r="G31" s="28">
        <f>C31/((1+'T3 Inputs'!$B$4)^(B31-2016))</f>
        <v>868572.77678492398</v>
      </c>
      <c r="H31" s="28">
        <f>D31/((1+'T3 Inputs'!$B$4)^(B31-2016))</f>
        <v>276038.19388039201</v>
      </c>
      <c r="I31" s="28">
        <f>E31/((1+'T3 Inputs'!$B$4)^(B31-2016))</f>
        <v>805178.24424555677</v>
      </c>
      <c r="J31" s="31">
        <f>F31/((1+'T3 Inputs'!$B$4)^(B31-2016))</f>
        <v>1949789.2149108725</v>
      </c>
    </row>
    <row r="32" spans="1:10" x14ac:dyDescent="0.2">
      <c r="A32" s="17">
        <f t="shared" si="1"/>
        <v>26</v>
      </c>
      <c r="B32" s="4">
        <f t="shared" si="2"/>
        <v>2045</v>
      </c>
      <c r="C32" s="28">
        <f t="shared" si="3"/>
        <v>5544000</v>
      </c>
      <c r="D32" s="28">
        <f t="shared" si="4"/>
        <v>1468266.6666666667</v>
      </c>
      <c r="E32" s="28">
        <f t="shared" si="5"/>
        <v>5139360</v>
      </c>
      <c r="F32" s="28">
        <f t="shared" si="0"/>
        <v>12151626.666666668</v>
      </c>
      <c r="G32" s="28">
        <f>C32/((1+'T3 Inputs'!$B$4)^(B32-2016))</f>
        <v>779280.24833039904</v>
      </c>
      <c r="H32" s="28">
        <f>D32/((1+'T3 Inputs'!$B$4)^(B32-2016))</f>
        <v>206383.69635917159</v>
      </c>
      <c r="I32" s="28">
        <f>E32/((1+'T3 Inputs'!$B$4)^(B32-2016))</f>
        <v>722402.91072498553</v>
      </c>
      <c r="J32" s="31">
        <f>F32/((1+'T3 Inputs'!$B$4)^(B32-2016))</f>
        <v>1708066.8554145563</v>
      </c>
    </row>
    <row r="33" spans="1:10" x14ac:dyDescent="0.2">
      <c r="A33" s="17">
        <f t="shared" si="1"/>
        <v>27</v>
      </c>
      <c r="B33" s="4">
        <f t="shared" si="2"/>
        <v>2046</v>
      </c>
      <c r="C33" s="28">
        <f t="shared" si="3"/>
        <v>5313000</v>
      </c>
      <c r="D33" s="28">
        <f t="shared" si="4"/>
        <v>1101200</v>
      </c>
      <c r="E33" s="28">
        <f t="shared" si="5"/>
        <v>4925220</v>
      </c>
      <c r="F33" s="28">
        <f t="shared" si="0"/>
        <v>11339420</v>
      </c>
      <c r="G33" s="28">
        <f>C33/((1+'T3 Inputs'!$B$4)^(B33-2016))</f>
        <v>697953.49344233563</v>
      </c>
      <c r="H33" s="28">
        <f>D33/((1+'T3 Inputs'!$B$4)^(B33-2016))</f>
        <v>144661.46941063431</v>
      </c>
      <c r="I33" s="28">
        <f>E33/((1+'T3 Inputs'!$B$4)^(B33-2016))</f>
        <v>647011.95275212883</v>
      </c>
      <c r="J33" s="31">
        <f>F33/((1+'T3 Inputs'!$B$4)^(B33-2016))</f>
        <v>1489626.9156050987</v>
      </c>
    </row>
    <row r="34" spans="1:10" x14ac:dyDescent="0.2">
      <c r="A34" s="17">
        <f t="shared" si="1"/>
        <v>28</v>
      </c>
      <c r="B34" s="4">
        <f t="shared" si="2"/>
        <v>2047</v>
      </c>
      <c r="C34" s="28">
        <f t="shared" si="3"/>
        <v>5082000</v>
      </c>
      <c r="D34" s="28">
        <f t="shared" si="4"/>
        <v>734133.33333333337</v>
      </c>
      <c r="E34" s="28">
        <f t="shared" si="5"/>
        <v>4711080</v>
      </c>
      <c r="F34" s="28">
        <f t="shared" si="0"/>
        <v>10527213.333333332</v>
      </c>
      <c r="G34" s="28">
        <f>C34/((1+'T3 Inputs'!$B$4)^(B34-2016))</f>
        <v>623932.41998095822</v>
      </c>
      <c r="H34" s="28">
        <f>D34/((1+'T3 Inputs'!$B$4)^(B34-2016))</f>
        <v>90131.756642139735</v>
      </c>
      <c r="I34" s="28">
        <f>E34/((1+'T3 Inputs'!$B$4)^(B34-2016))</f>
        <v>578393.45634078956</v>
      </c>
      <c r="J34" s="31">
        <f>F34/((1+'T3 Inputs'!$B$4)^(B34-2016))</f>
        <v>1292457.6329638874</v>
      </c>
    </row>
    <row r="35" spans="1:10" x14ac:dyDescent="0.2">
      <c r="A35" s="17">
        <f t="shared" si="1"/>
        <v>29</v>
      </c>
      <c r="B35" s="4">
        <f t="shared" si="2"/>
        <v>2048</v>
      </c>
      <c r="C35" s="28">
        <f t="shared" si="3"/>
        <v>4851000</v>
      </c>
      <c r="D35" s="28">
        <f t="shared" si="4"/>
        <v>367066.66666666669</v>
      </c>
      <c r="E35" s="28">
        <f t="shared" si="5"/>
        <v>4496940</v>
      </c>
      <c r="F35" s="28">
        <f>SUM(C35:E35)</f>
        <v>9715006.6666666679</v>
      </c>
      <c r="G35" s="28">
        <f>C35/((1+'T3 Inputs'!$B$4)^(B35-2016))</f>
        <v>556609.21068819554</v>
      </c>
      <c r="H35" s="28">
        <f>D35/((1+'T3 Inputs'!$B$4)^(B35-2016))</f>
        <v>42117.643290719505</v>
      </c>
      <c r="I35" s="28">
        <f>E35/((1+'T3 Inputs'!$B$4)^(B35-2016))</f>
        <v>515983.96699900518</v>
      </c>
      <c r="J35" s="31">
        <f>F35/((1+'T3 Inputs'!$B$4)^(B35-2016))</f>
        <v>1114710.8209779204</v>
      </c>
    </row>
    <row r="36" spans="1:10" s="366" customFormat="1" ht="13.5" thickBot="1" x14ac:dyDescent="0.25">
      <c r="A36" s="362">
        <f t="shared" si="1"/>
        <v>30</v>
      </c>
      <c r="B36" s="363">
        <f t="shared" si="2"/>
        <v>2049</v>
      </c>
      <c r="C36" s="364">
        <f>(($C$3-A36)/$C$3)*$C$5</f>
        <v>4620000</v>
      </c>
      <c r="D36" s="364">
        <f>(($D$3-A36)/$D$3)*$D$5</f>
        <v>0</v>
      </c>
      <c r="E36" s="364">
        <f>(($E$3-A36)/$E$3)*$E$5</f>
        <v>4282800</v>
      </c>
      <c r="F36" s="364">
        <f>SUM(C36:E36)</f>
        <v>8902800</v>
      </c>
      <c r="G36" s="364">
        <f>C36/((1+'T3 Inputs'!$B$4)^(B36-2016))</f>
        <v>495424.30857872323</v>
      </c>
      <c r="H36" s="364">
        <f>D36/((1+'T3 Inputs'!$B$4)^(B36-2016))</f>
        <v>0</v>
      </c>
      <c r="I36" s="364">
        <f>E36/((1+'T3 Inputs'!$B$4)^(B36-2016))</f>
        <v>459264.76813440601</v>
      </c>
      <c r="J36" s="365">
        <f>F36/((1+'T3 Inputs'!$B$4)^(B36-2016))</f>
        <v>954689.0767131293</v>
      </c>
    </row>
  </sheetData>
  <mergeCells count="4">
    <mergeCell ref="A2:B2"/>
    <mergeCell ref="A3:A4"/>
    <mergeCell ref="A1:J1"/>
    <mergeCell ref="C4:J4"/>
  </mergeCells>
  <pageMargins left="0.25" right="0.25" top="0.75" bottom="0.75" header="0.3" footer="0.3"/>
  <pageSetup orientation="landscape" horizontalDpi="3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70" zoomScaleNormal="70" workbookViewId="0">
      <selection activeCell="A2" sqref="A2:B2"/>
    </sheetView>
  </sheetViews>
  <sheetFormatPr defaultRowHeight="12.75" x14ac:dyDescent="0.2"/>
  <cols>
    <col min="1" max="1" width="15.7109375" style="368" customWidth="1"/>
    <col min="2" max="2" width="28.7109375" style="2" customWidth="1"/>
    <col min="3" max="14" width="15.28515625" style="2" customWidth="1"/>
    <col min="15" max="15" width="15.7109375" style="2" customWidth="1"/>
    <col min="16" max="21" width="12.7109375" style="2" customWidth="1"/>
    <col min="22" max="16384" width="9.140625" style="2"/>
  </cols>
  <sheetData>
    <row r="1" spans="1:21" ht="13.5" thickBot="1" x14ac:dyDescent="0.25"/>
    <row r="2" spans="1:21" ht="28.5" x14ac:dyDescent="0.2">
      <c r="A2" s="657" t="s">
        <v>170</v>
      </c>
      <c r="B2" s="658"/>
      <c r="C2" s="15" t="s">
        <v>30</v>
      </c>
      <c r="D2" s="15" t="s">
        <v>31</v>
      </c>
      <c r="E2" s="15" t="s">
        <v>32</v>
      </c>
      <c r="F2" s="15" t="s">
        <v>115</v>
      </c>
      <c r="G2" s="15" t="s">
        <v>124</v>
      </c>
      <c r="H2" s="15" t="s">
        <v>125</v>
      </c>
      <c r="I2" s="15" t="s">
        <v>126</v>
      </c>
      <c r="J2" s="15" t="s">
        <v>127</v>
      </c>
      <c r="K2" s="15" t="s">
        <v>274</v>
      </c>
      <c r="L2" s="15" t="s">
        <v>275</v>
      </c>
      <c r="M2" s="15" t="s">
        <v>276</v>
      </c>
      <c r="N2" s="15" t="s">
        <v>277</v>
      </c>
      <c r="O2" s="74" t="s">
        <v>27</v>
      </c>
    </row>
    <row r="3" spans="1:21" ht="15" x14ac:dyDescent="0.25">
      <c r="A3" s="654" t="s">
        <v>168</v>
      </c>
      <c r="B3" s="369" t="s">
        <v>233</v>
      </c>
      <c r="C3" s="410"/>
      <c r="D3" s="411"/>
      <c r="E3" s="411">
        <v>0.2</v>
      </c>
      <c r="F3" s="411">
        <v>0.3</v>
      </c>
      <c r="G3" s="411">
        <v>0.5</v>
      </c>
      <c r="H3" s="411"/>
      <c r="I3" s="411"/>
      <c r="J3" s="411"/>
      <c r="K3" s="411"/>
      <c r="L3" s="411"/>
      <c r="M3" s="411"/>
      <c r="N3" s="411"/>
      <c r="O3" s="412">
        <f t="shared" ref="O3:O8" si="0">SUM(C3:N3)</f>
        <v>1</v>
      </c>
    </row>
    <row r="4" spans="1:21" ht="15" x14ac:dyDescent="0.25">
      <c r="A4" s="654"/>
      <c r="B4" s="369" t="s">
        <v>234</v>
      </c>
      <c r="C4" s="410"/>
      <c r="D4" s="411"/>
      <c r="E4" s="411"/>
      <c r="F4" s="411"/>
      <c r="G4" s="411"/>
      <c r="H4" s="411">
        <v>0.2</v>
      </c>
      <c r="I4" s="411">
        <v>0.15</v>
      </c>
      <c r="J4" s="411">
        <v>0.15</v>
      </c>
      <c r="K4" s="411">
        <v>0.2</v>
      </c>
      <c r="L4" s="411">
        <v>0.2</v>
      </c>
      <c r="M4" s="411">
        <v>0.1</v>
      </c>
      <c r="N4" s="411"/>
      <c r="O4" s="412">
        <f t="shared" si="0"/>
        <v>0.99999999999999989</v>
      </c>
    </row>
    <row r="5" spans="1:21" ht="15" x14ac:dyDescent="0.25">
      <c r="A5" s="654" t="s">
        <v>128</v>
      </c>
      <c r="B5" s="369" t="s">
        <v>273</v>
      </c>
      <c r="C5" s="410"/>
      <c r="D5" s="411"/>
      <c r="E5" s="411"/>
      <c r="F5" s="411">
        <v>0.3</v>
      </c>
      <c r="G5" s="411">
        <v>0.4</v>
      </c>
      <c r="H5" s="411">
        <v>0.3</v>
      </c>
      <c r="I5" s="411"/>
      <c r="J5" s="411"/>
      <c r="K5" s="411"/>
      <c r="L5" s="411"/>
      <c r="M5" s="411"/>
      <c r="N5" s="411"/>
      <c r="O5" s="412">
        <f t="shared" si="0"/>
        <v>1</v>
      </c>
    </row>
    <row r="6" spans="1:21" ht="15" x14ac:dyDescent="0.25">
      <c r="A6" s="654"/>
      <c r="B6" s="369" t="s">
        <v>234</v>
      </c>
      <c r="C6" s="410"/>
      <c r="D6" s="411"/>
      <c r="E6" s="411"/>
      <c r="F6" s="411"/>
      <c r="G6" s="411"/>
      <c r="H6" s="411"/>
      <c r="I6" s="411">
        <v>0.15</v>
      </c>
      <c r="J6" s="411">
        <v>0.15</v>
      </c>
      <c r="K6" s="411">
        <v>0.2</v>
      </c>
      <c r="L6" s="411">
        <v>0.25</v>
      </c>
      <c r="M6" s="411">
        <v>0.15</v>
      </c>
      <c r="N6" s="411">
        <v>0.1</v>
      </c>
      <c r="O6" s="412">
        <f t="shared" si="0"/>
        <v>1</v>
      </c>
    </row>
    <row r="7" spans="1:21" ht="15" x14ac:dyDescent="0.25">
      <c r="A7" s="654" t="s">
        <v>123</v>
      </c>
      <c r="B7" s="369" t="s">
        <v>233</v>
      </c>
      <c r="C7" s="410"/>
      <c r="D7" s="411"/>
      <c r="E7" s="411"/>
      <c r="F7" s="411"/>
      <c r="G7" s="411"/>
      <c r="H7" s="411"/>
      <c r="I7" s="411">
        <v>0.3</v>
      </c>
      <c r="J7" s="411">
        <v>0.3</v>
      </c>
      <c r="K7" s="411">
        <v>0.4</v>
      </c>
      <c r="L7" s="411"/>
      <c r="M7" s="411"/>
      <c r="N7" s="411"/>
      <c r="O7" s="412">
        <f t="shared" si="0"/>
        <v>1</v>
      </c>
    </row>
    <row r="8" spans="1:21" ht="15.75" thickBot="1" x14ac:dyDescent="0.3">
      <c r="A8" s="659"/>
      <c r="B8" s="452" t="s">
        <v>234</v>
      </c>
      <c r="C8" s="453"/>
      <c r="D8" s="224"/>
      <c r="E8" s="224"/>
      <c r="F8" s="224"/>
      <c r="G8" s="224"/>
      <c r="H8" s="224"/>
      <c r="I8" s="224"/>
      <c r="J8" s="224"/>
      <c r="K8" s="224">
        <v>0.25</v>
      </c>
      <c r="L8" s="224">
        <v>0.25</v>
      </c>
      <c r="M8" s="224">
        <v>0.25</v>
      </c>
      <c r="N8" s="224">
        <v>0.25</v>
      </c>
      <c r="O8" s="413">
        <f t="shared" si="0"/>
        <v>1</v>
      </c>
    </row>
    <row r="9" spans="1:21" s="480" customFormat="1" ht="15.75" thickBot="1" x14ac:dyDescent="0.25">
      <c r="A9" s="476"/>
      <c r="B9" s="477"/>
      <c r="C9" s="478"/>
      <c r="D9" s="478"/>
      <c r="E9" s="478">
        <v>3</v>
      </c>
      <c r="F9" s="478">
        <v>3</v>
      </c>
      <c r="G9" s="478">
        <v>3</v>
      </c>
      <c r="H9" s="478">
        <v>3</v>
      </c>
      <c r="I9" s="478">
        <v>3</v>
      </c>
      <c r="J9" s="478">
        <v>3</v>
      </c>
      <c r="K9" s="478">
        <v>3</v>
      </c>
      <c r="L9" s="478">
        <v>3</v>
      </c>
      <c r="M9" s="478">
        <v>3</v>
      </c>
      <c r="N9" s="478">
        <v>3</v>
      </c>
      <c r="O9" s="479"/>
      <c r="Q9" s="480">
        <f>SUM(E9:K9)</f>
        <v>21</v>
      </c>
      <c r="S9" s="480">
        <f>SUM(H9:N9)</f>
        <v>21</v>
      </c>
      <c r="U9" s="480">
        <f>SUM(E9:N9)</f>
        <v>30</v>
      </c>
    </row>
    <row r="10" spans="1:21" ht="28.5" x14ac:dyDescent="0.2">
      <c r="A10" s="657" t="s">
        <v>170</v>
      </c>
      <c r="B10" s="658"/>
      <c r="C10" s="15" t="s">
        <v>30</v>
      </c>
      <c r="D10" s="15" t="s">
        <v>31</v>
      </c>
      <c r="E10" s="15" t="s">
        <v>32</v>
      </c>
      <c r="F10" s="15" t="s">
        <v>115</v>
      </c>
      <c r="G10" s="15" t="s">
        <v>124</v>
      </c>
      <c r="H10" s="15" t="s">
        <v>125</v>
      </c>
      <c r="I10" s="15" t="s">
        <v>126</v>
      </c>
      <c r="J10" s="15" t="s">
        <v>127</v>
      </c>
      <c r="K10" s="15" t="s">
        <v>274</v>
      </c>
      <c r="L10" s="15" t="s">
        <v>275</v>
      </c>
      <c r="M10" s="15" t="s">
        <v>276</v>
      </c>
      <c r="N10" s="15" t="s">
        <v>277</v>
      </c>
      <c r="O10" s="74" t="s">
        <v>27</v>
      </c>
    </row>
    <row r="11" spans="1:21" ht="15" x14ac:dyDescent="0.25">
      <c r="A11" s="654" t="s">
        <v>168</v>
      </c>
      <c r="B11" s="369" t="s">
        <v>233</v>
      </c>
      <c r="C11" s="414">
        <f>'T24 Cost Estimates'!$E$28*'T27 Capital Expenditure'!C3</f>
        <v>0</v>
      </c>
      <c r="D11" s="415">
        <f>'T24 Cost Estimates'!$E$28*'T27 Capital Expenditure'!D3</f>
        <v>0</v>
      </c>
      <c r="E11" s="415">
        <f>'T24 Cost Estimates'!$E$28*'T27 Capital Expenditure'!E3</f>
        <v>210000</v>
      </c>
      <c r="F11" s="415">
        <f>'T24 Cost Estimates'!$E$28*'T27 Capital Expenditure'!F3</f>
        <v>315000</v>
      </c>
      <c r="G11" s="415">
        <f>'T24 Cost Estimates'!$E$28*'T27 Capital Expenditure'!G3</f>
        <v>525000</v>
      </c>
      <c r="H11" s="415">
        <f>'T24 Cost Estimates'!$E$28*'T27 Capital Expenditure'!H3</f>
        <v>0</v>
      </c>
      <c r="I11" s="415">
        <f>'T24 Cost Estimates'!$E$28*'T27 Capital Expenditure'!I3</f>
        <v>0</v>
      </c>
      <c r="J11" s="415">
        <f>'T24 Cost Estimates'!$E$28*'T27 Capital Expenditure'!J3</f>
        <v>0</v>
      </c>
      <c r="K11" s="415">
        <f>'T24 Cost Estimates'!$E$28*'T27 Capital Expenditure'!K3</f>
        <v>0</v>
      </c>
      <c r="L11" s="415">
        <f>'T24 Cost Estimates'!$E$28*'T27 Capital Expenditure'!L3</f>
        <v>0</v>
      </c>
      <c r="M11" s="415">
        <f>'T24 Cost Estimates'!$E$28*'T27 Capital Expenditure'!M3</f>
        <v>0</v>
      </c>
      <c r="N11" s="415">
        <f>'T24 Cost Estimates'!$E$28*'T27 Capital Expenditure'!N3</f>
        <v>0</v>
      </c>
      <c r="O11" s="416">
        <f t="shared" ref="O11:O16" si="1">SUM(C11:N11)</f>
        <v>1050000</v>
      </c>
    </row>
    <row r="12" spans="1:21" ht="15" x14ac:dyDescent="0.25">
      <c r="A12" s="654"/>
      <c r="B12" s="369" t="s">
        <v>234</v>
      </c>
      <c r="C12" s="414">
        <f>C4*'T24 Cost Estimates'!$E$27</f>
        <v>0</v>
      </c>
      <c r="D12" s="415">
        <f>D4*'T24 Cost Estimates'!$E$27</f>
        <v>0</v>
      </c>
      <c r="E12" s="415">
        <f>E4*'T24 Cost Estimates'!$E$27</f>
        <v>0</v>
      </c>
      <c r="F12" s="415">
        <f>F4*'T24 Cost Estimates'!$E$27</f>
        <v>0</v>
      </c>
      <c r="G12" s="415">
        <f>G4*'T24 Cost Estimates'!$E$27</f>
        <v>0</v>
      </c>
      <c r="H12" s="415">
        <f>H4*'T24 Cost Estimates'!$E$27</f>
        <v>2310000</v>
      </c>
      <c r="I12" s="415">
        <f>I4*'T24 Cost Estimates'!$E$27</f>
        <v>1732500</v>
      </c>
      <c r="J12" s="415">
        <f>J4*'T24 Cost Estimates'!$E$27</f>
        <v>1732500</v>
      </c>
      <c r="K12" s="415">
        <f>K4*'T24 Cost Estimates'!$E$27</f>
        <v>2310000</v>
      </c>
      <c r="L12" s="415">
        <f>L4*'T24 Cost Estimates'!$E$27</f>
        <v>2310000</v>
      </c>
      <c r="M12" s="415">
        <f>M4*'T24 Cost Estimates'!$E$27</f>
        <v>1155000</v>
      </c>
      <c r="N12" s="415">
        <f>N4*'T24 Cost Estimates'!$E$27</f>
        <v>0</v>
      </c>
      <c r="O12" s="416">
        <f t="shared" si="1"/>
        <v>11550000</v>
      </c>
    </row>
    <row r="13" spans="1:21" ht="15" x14ac:dyDescent="0.25">
      <c r="A13" s="654" t="s">
        <v>128</v>
      </c>
      <c r="B13" s="369" t="s">
        <v>273</v>
      </c>
      <c r="C13" s="414">
        <f>C5*'T24 Cost Estimates'!$E$36</f>
        <v>0</v>
      </c>
      <c r="D13" s="415">
        <f>D5*'T24 Cost Estimates'!$E$36</f>
        <v>0</v>
      </c>
      <c r="E13" s="415">
        <f>E5*'T24 Cost Estimates'!$E$36</f>
        <v>0</v>
      </c>
      <c r="F13" s="415">
        <f>F5*'T24 Cost Estimates'!$E$36</f>
        <v>297600</v>
      </c>
      <c r="G13" s="415">
        <f>G5*'T24 Cost Estimates'!$E$36</f>
        <v>396800</v>
      </c>
      <c r="H13" s="415">
        <f>H5*'T24 Cost Estimates'!$E$36</f>
        <v>297600</v>
      </c>
      <c r="I13" s="415">
        <f>I5*'T24 Cost Estimates'!$E$36</f>
        <v>0</v>
      </c>
      <c r="J13" s="415">
        <f>J5*'T24 Cost Estimates'!$E$36</f>
        <v>0</v>
      </c>
      <c r="K13" s="415">
        <f>K5*'T24 Cost Estimates'!$E$36</f>
        <v>0</v>
      </c>
      <c r="L13" s="415">
        <f>L5*'T24 Cost Estimates'!$E$36</f>
        <v>0</v>
      </c>
      <c r="M13" s="415">
        <f>M5*'T24 Cost Estimates'!$E$36</f>
        <v>0</v>
      </c>
      <c r="N13" s="415">
        <f>N5*'T24 Cost Estimates'!$E$36</f>
        <v>0</v>
      </c>
      <c r="O13" s="416">
        <f t="shared" si="1"/>
        <v>992000</v>
      </c>
    </row>
    <row r="14" spans="1:21" ht="15" x14ac:dyDescent="0.25">
      <c r="A14" s="654"/>
      <c r="B14" s="369" t="s">
        <v>234</v>
      </c>
      <c r="C14" s="414">
        <f>C6*'T24 Cost Estimates'!$E$35</f>
        <v>0</v>
      </c>
      <c r="D14" s="415">
        <f>D6*'T24 Cost Estimates'!$E$35</f>
        <v>0</v>
      </c>
      <c r="E14" s="415">
        <f>E6*'T24 Cost Estimates'!$E$35</f>
        <v>0</v>
      </c>
      <c r="F14" s="415">
        <f>F6*'T24 Cost Estimates'!$E$35</f>
        <v>0</v>
      </c>
      <c r="G14" s="415">
        <f>G6*'T24 Cost Estimates'!$E$35</f>
        <v>0</v>
      </c>
      <c r="H14" s="415">
        <f>H6*'T24 Cost Estimates'!$E$35</f>
        <v>0</v>
      </c>
      <c r="I14" s="415">
        <f>I6*'T24 Cost Estimates'!$E$35</f>
        <v>1651800</v>
      </c>
      <c r="J14" s="415">
        <f>J6*'T24 Cost Estimates'!$E$35</f>
        <v>1651800</v>
      </c>
      <c r="K14" s="415">
        <f>K6*'T24 Cost Estimates'!$E$35</f>
        <v>2202400</v>
      </c>
      <c r="L14" s="415">
        <f>L6*'T24 Cost Estimates'!$E$35</f>
        <v>2753000</v>
      </c>
      <c r="M14" s="415">
        <f>M6*'T24 Cost Estimates'!$E$35</f>
        <v>1651800</v>
      </c>
      <c r="N14" s="415">
        <f>N6*'T24 Cost Estimates'!$E$35</f>
        <v>1101200</v>
      </c>
      <c r="O14" s="416">
        <f t="shared" si="1"/>
        <v>11012000</v>
      </c>
    </row>
    <row r="15" spans="1:21" ht="15" x14ac:dyDescent="0.25">
      <c r="A15" s="654" t="s">
        <v>123</v>
      </c>
      <c r="B15" s="369" t="s">
        <v>233</v>
      </c>
      <c r="C15" s="414">
        <f>C7*'T24 Cost Estimates'!$E$22</f>
        <v>0</v>
      </c>
      <c r="D15" s="415">
        <f>D7*'T24 Cost Estimates'!$E$22</f>
        <v>0</v>
      </c>
      <c r="E15" s="415">
        <f>E7*'T24 Cost Estimates'!$E$22</f>
        <v>0</v>
      </c>
      <c r="F15" s="415">
        <f>F7*'T24 Cost Estimates'!$E$22</f>
        <v>0</v>
      </c>
      <c r="G15" s="415">
        <f>G7*'T24 Cost Estimates'!$E$22</f>
        <v>0</v>
      </c>
      <c r="H15" s="415">
        <f>H7*'T24 Cost Estimates'!$E$22</f>
        <v>0</v>
      </c>
      <c r="I15" s="415">
        <f>I7*'T24 Cost Estimates'!$E$22</f>
        <v>322020</v>
      </c>
      <c r="J15" s="415">
        <f>J7*'T24 Cost Estimates'!$E$22</f>
        <v>322020</v>
      </c>
      <c r="K15" s="415">
        <f>K7*'T24 Cost Estimates'!$E$22</f>
        <v>429360</v>
      </c>
      <c r="L15" s="415">
        <f>L7*'T24 Cost Estimates'!$E$22</f>
        <v>0</v>
      </c>
      <c r="M15" s="415">
        <f>M7*'T24 Cost Estimates'!$E$22</f>
        <v>0</v>
      </c>
      <c r="N15" s="415">
        <f>N7*'T24 Cost Estimates'!$E$22</f>
        <v>0</v>
      </c>
      <c r="O15" s="416">
        <f t="shared" si="1"/>
        <v>1073400</v>
      </c>
    </row>
    <row r="16" spans="1:21" ht="15" x14ac:dyDescent="0.25">
      <c r="A16" s="654"/>
      <c r="B16" s="369" t="s">
        <v>234</v>
      </c>
      <c r="C16" s="414">
        <f>C8*'T24 Cost Estimates'!$E$21</f>
        <v>0</v>
      </c>
      <c r="D16" s="415">
        <f>D8*'T24 Cost Estimates'!$E$21</f>
        <v>0</v>
      </c>
      <c r="E16" s="415">
        <f>E8*'T24 Cost Estimates'!$E$21</f>
        <v>0</v>
      </c>
      <c r="F16" s="415">
        <f>F8*'T24 Cost Estimates'!$E$21</f>
        <v>0</v>
      </c>
      <c r="G16" s="415">
        <f>G8*'T24 Cost Estimates'!$E$21</f>
        <v>0</v>
      </c>
      <c r="H16" s="415">
        <f>H8*'T24 Cost Estimates'!$E$21</f>
        <v>0</v>
      </c>
      <c r="I16" s="415">
        <f>I8*'T24 Cost Estimates'!$E$21</f>
        <v>0</v>
      </c>
      <c r="J16" s="415">
        <f>J8*'T24 Cost Estimates'!$E$21</f>
        <v>0</v>
      </c>
      <c r="K16" s="415">
        <f>K8*'T24 Cost Estimates'!$E$21</f>
        <v>2989250</v>
      </c>
      <c r="L16" s="415">
        <f>L8*'T24 Cost Estimates'!$E$21</f>
        <v>2989250</v>
      </c>
      <c r="M16" s="415">
        <f>M8*'T24 Cost Estimates'!$E$21</f>
        <v>2989250</v>
      </c>
      <c r="N16" s="415">
        <f>N8*'T24 Cost Estimates'!$E$21</f>
        <v>2989250</v>
      </c>
      <c r="O16" s="416">
        <f t="shared" si="1"/>
        <v>11957000</v>
      </c>
    </row>
    <row r="17" spans="1:21" ht="15" thickBot="1" x14ac:dyDescent="0.25">
      <c r="A17" s="655" t="s">
        <v>27</v>
      </c>
      <c r="B17" s="656"/>
      <c r="C17" s="417">
        <f>SUM(C11:C16)</f>
        <v>0</v>
      </c>
      <c r="D17" s="418">
        <f t="shared" ref="D17:O17" si="2">SUM(D11:D16)</f>
        <v>0</v>
      </c>
      <c r="E17" s="418">
        <f t="shared" si="2"/>
        <v>210000</v>
      </c>
      <c r="F17" s="418">
        <f t="shared" si="2"/>
        <v>612600</v>
      </c>
      <c r="G17" s="418">
        <f t="shared" si="2"/>
        <v>921800</v>
      </c>
      <c r="H17" s="418">
        <f t="shared" si="2"/>
        <v>2607600</v>
      </c>
      <c r="I17" s="418">
        <f t="shared" si="2"/>
        <v>3706320</v>
      </c>
      <c r="J17" s="418">
        <f t="shared" si="2"/>
        <v>3706320</v>
      </c>
      <c r="K17" s="418">
        <f t="shared" si="2"/>
        <v>7931010</v>
      </c>
      <c r="L17" s="418">
        <f t="shared" si="2"/>
        <v>8052250</v>
      </c>
      <c r="M17" s="418">
        <f t="shared" si="2"/>
        <v>5796050</v>
      </c>
      <c r="N17" s="418">
        <f t="shared" si="2"/>
        <v>4090450</v>
      </c>
      <c r="O17" s="419">
        <f t="shared" si="2"/>
        <v>37634400</v>
      </c>
    </row>
    <row r="18" spans="1:21" x14ac:dyDescent="0.2">
      <c r="B18" s="86"/>
      <c r="C18" s="87"/>
      <c r="D18" s="87"/>
      <c r="E18" s="87"/>
      <c r="F18" s="87"/>
    </row>
    <row r="19" spans="1:21" x14ac:dyDescent="0.2">
      <c r="B19" s="86"/>
      <c r="C19" s="32"/>
      <c r="D19" s="32"/>
      <c r="E19" s="32"/>
      <c r="F19" s="32"/>
      <c r="K19" s="480">
        <f>SUM(E9:K9)</f>
        <v>21</v>
      </c>
    </row>
    <row r="20" spans="1:21" ht="13.5" customHeight="1" x14ac:dyDescent="0.2">
      <c r="B20" s="646" t="s">
        <v>317</v>
      </c>
      <c r="C20" s="647"/>
      <c r="D20" s="647"/>
      <c r="E20" s="647"/>
      <c r="F20" s="647"/>
      <c r="G20" s="647"/>
      <c r="H20" s="446"/>
      <c r="I20" s="446"/>
      <c r="J20" s="446"/>
      <c r="K20" s="446"/>
      <c r="L20" s="446"/>
      <c r="M20" s="446"/>
      <c r="N20" s="648" t="s">
        <v>318</v>
      </c>
      <c r="O20" s="648"/>
      <c r="P20" s="648"/>
      <c r="Q20" s="648"/>
      <c r="R20" s="648"/>
      <c r="S20" s="648"/>
      <c r="T20" s="648"/>
      <c r="U20" s="648"/>
    </row>
    <row r="21" spans="1:21" ht="24.75" customHeight="1" x14ac:dyDescent="0.2">
      <c r="B21" s="432"/>
      <c r="C21" s="645" t="s">
        <v>312</v>
      </c>
      <c r="D21" s="645"/>
      <c r="E21" s="645"/>
      <c r="F21" s="645"/>
      <c r="G21" s="645"/>
      <c r="N21" s="432"/>
      <c r="O21" s="645" t="s">
        <v>313</v>
      </c>
      <c r="P21" s="645"/>
      <c r="Q21" s="645" t="s">
        <v>314</v>
      </c>
      <c r="R21" s="645"/>
      <c r="S21" s="645"/>
      <c r="T21" s="645"/>
      <c r="U21" s="645"/>
    </row>
    <row r="22" spans="1:21" x14ac:dyDescent="0.2">
      <c r="B22" s="433" t="s">
        <v>294</v>
      </c>
      <c r="C22" s="651" t="s">
        <v>295</v>
      </c>
      <c r="D22" s="651"/>
      <c r="E22" s="651" t="s">
        <v>296</v>
      </c>
      <c r="F22" s="651"/>
      <c r="G22" s="434" t="s">
        <v>0</v>
      </c>
      <c r="N22" s="433" t="s">
        <v>294</v>
      </c>
      <c r="O22" s="651" t="s">
        <v>296</v>
      </c>
      <c r="P22" s="651"/>
      <c r="Q22" s="652" t="s">
        <v>295</v>
      </c>
      <c r="R22" s="653"/>
      <c r="S22" s="651" t="s">
        <v>296</v>
      </c>
      <c r="T22" s="651"/>
      <c r="U22" s="434" t="s">
        <v>0</v>
      </c>
    </row>
    <row r="23" spans="1:21" x14ac:dyDescent="0.2">
      <c r="B23" s="433"/>
      <c r="C23" s="434" t="s">
        <v>297</v>
      </c>
      <c r="D23" s="434" t="s">
        <v>298</v>
      </c>
      <c r="E23" s="434" t="s">
        <v>297</v>
      </c>
      <c r="F23" s="434" t="s">
        <v>298</v>
      </c>
      <c r="G23" s="434" t="s">
        <v>297</v>
      </c>
      <c r="N23" s="433"/>
      <c r="O23" s="434" t="s">
        <v>297</v>
      </c>
      <c r="P23" s="434" t="s">
        <v>298</v>
      </c>
      <c r="Q23" s="434" t="s">
        <v>297</v>
      </c>
      <c r="R23" s="434" t="s">
        <v>298</v>
      </c>
      <c r="S23" s="434" t="s">
        <v>297</v>
      </c>
      <c r="T23" s="434" t="s">
        <v>298</v>
      </c>
      <c r="U23" s="434" t="s">
        <v>297</v>
      </c>
    </row>
    <row r="24" spans="1:21" x14ac:dyDescent="0.2">
      <c r="B24" s="435" t="s">
        <v>310</v>
      </c>
      <c r="C24" s="436">
        <f>G24-E24</f>
        <v>0</v>
      </c>
      <c r="D24" s="437">
        <f>C24/$C$28</f>
        <v>0</v>
      </c>
      <c r="E24" s="28">
        <f>C39</f>
        <v>3115400</v>
      </c>
      <c r="F24" s="437">
        <f>E24/$E$28</f>
        <v>0.14582640376285858</v>
      </c>
      <c r="G24" s="436">
        <f>O11+O13+O15</f>
        <v>3115400</v>
      </c>
      <c r="N24" s="435" t="s">
        <v>310</v>
      </c>
      <c r="O24" s="436">
        <f>SUM(C11:H11)+SUM(C13:H13)+SUM(C15:H15)</f>
        <v>2042000</v>
      </c>
      <c r="P24" s="437">
        <f>O24/$O$28</f>
        <v>0.46920955882352944</v>
      </c>
      <c r="Q24" s="436">
        <f>C24</f>
        <v>0</v>
      </c>
      <c r="R24" s="437">
        <f>Q24/$Q$28</f>
        <v>0</v>
      </c>
      <c r="S24" s="436">
        <f>E24-O24</f>
        <v>1073400</v>
      </c>
      <c r="T24" s="437">
        <f>S24/$S$28</f>
        <v>6.3097535245916381E-2</v>
      </c>
      <c r="U24" s="436">
        <f>SUM(Q24+S24)</f>
        <v>1073400</v>
      </c>
    </row>
    <row r="25" spans="1:21" x14ac:dyDescent="0.2">
      <c r="B25" s="435" t="s">
        <v>123</v>
      </c>
      <c r="C25" s="436">
        <f>G25-E25</f>
        <v>11932531</v>
      </c>
      <c r="D25" s="437">
        <f>C25/$C$28</f>
        <v>0.73337800684201648</v>
      </c>
      <c r="E25" s="28">
        <v>24469</v>
      </c>
      <c r="F25" s="437">
        <f>E25/$E$28</f>
        <v>1.1453509256189852E-3</v>
      </c>
      <c r="G25" s="436">
        <f>O16</f>
        <v>11957000</v>
      </c>
      <c r="N25" s="435" t="s">
        <v>123</v>
      </c>
      <c r="O25" s="436">
        <f>SUM(C16:H16)</f>
        <v>0</v>
      </c>
      <c r="P25" s="437">
        <f>O25/$O$28</f>
        <v>0</v>
      </c>
      <c r="Q25" s="436">
        <f>C25</f>
        <v>11932531</v>
      </c>
      <c r="R25" s="437">
        <f>Q25/$Q$28</f>
        <v>0.73337800684201648</v>
      </c>
      <c r="S25" s="436">
        <f>E25-O25</f>
        <v>24469</v>
      </c>
      <c r="T25" s="437">
        <f>S25/$S$28</f>
        <v>1.438358105023596E-3</v>
      </c>
      <c r="U25" s="436">
        <f>SUM(Q25+S25)</f>
        <v>11957000</v>
      </c>
    </row>
    <row r="26" spans="1:21" ht="25.5" x14ac:dyDescent="0.2">
      <c r="B26" s="435" t="s">
        <v>168</v>
      </c>
      <c r="C26" s="436">
        <f>G26-E26</f>
        <v>2215000</v>
      </c>
      <c r="D26" s="437">
        <f>C26/$C$28</f>
        <v>0.1361347634592415</v>
      </c>
      <c r="E26" s="28">
        <f>8401500+933500</f>
        <v>9335000</v>
      </c>
      <c r="F26" s="437">
        <f>E26/$E$28</f>
        <v>0.4369549589543188</v>
      </c>
      <c r="G26" s="436">
        <f>O12</f>
        <v>11550000</v>
      </c>
      <c r="N26" s="435" t="s">
        <v>168</v>
      </c>
      <c r="O26" s="436">
        <f>SUM(C12:H12)</f>
        <v>2310000</v>
      </c>
      <c r="P26" s="437">
        <f>O26/$O$28</f>
        <v>0.53079044117647056</v>
      </c>
      <c r="Q26" s="436">
        <f>C26</f>
        <v>2215000</v>
      </c>
      <c r="R26" s="437">
        <f>Q26/$Q$28</f>
        <v>0.1361347634592415</v>
      </c>
      <c r="S26" s="436">
        <f>E26-O26</f>
        <v>7025000</v>
      </c>
      <c r="T26" s="437">
        <f>S26/$S$28</f>
        <v>0.4129496786869411</v>
      </c>
      <c r="U26" s="436">
        <f>SUM(Q26+S26)</f>
        <v>9240000</v>
      </c>
    </row>
    <row r="27" spans="1:21" x14ac:dyDescent="0.2">
      <c r="B27" s="435" t="s">
        <v>128</v>
      </c>
      <c r="C27" s="436">
        <f>G27-E27</f>
        <v>2123111</v>
      </c>
      <c r="D27" s="437">
        <f>C27/$C$28</f>
        <v>0.13048722969874207</v>
      </c>
      <c r="E27" s="498">
        <f>8000000+888889</f>
        <v>8888889</v>
      </c>
      <c r="F27" s="437">
        <v>0</v>
      </c>
      <c r="G27" s="436">
        <f>O14</f>
        <v>11012000</v>
      </c>
      <c r="N27" s="435" t="s">
        <v>128</v>
      </c>
      <c r="O27" s="436">
        <f>SUM(C14:H14)</f>
        <v>0</v>
      </c>
      <c r="P27" s="437">
        <f>O27/$O$28</f>
        <v>0</v>
      </c>
      <c r="Q27" s="436">
        <f>C27</f>
        <v>2123111</v>
      </c>
      <c r="R27" s="437">
        <f>Q27/$Q$28</f>
        <v>0.13048722969874207</v>
      </c>
      <c r="S27" s="436">
        <f>E27-O27</f>
        <v>8888889</v>
      </c>
      <c r="T27" s="437">
        <f>S27/$S$28</f>
        <v>0.52251442796211889</v>
      </c>
      <c r="U27" s="436">
        <f>SUM(Q27+S27)</f>
        <v>11012000</v>
      </c>
    </row>
    <row r="28" spans="1:21" x14ac:dyDescent="0.2">
      <c r="B28" s="438" t="s">
        <v>27</v>
      </c>
      <c r="C28" s="439">
        <f>SUM(C24:C27)</f>
        <v>16270642</v>
      </c>
      <c r="D28" s="440">
        <f>C28/$C$28</f>
        <v>1</v>
      </c>
      <c r="E28" s="28">
        <f>SUM(E24:E27)</f>
        <v>21363758</v>
      </c>
      <c r="F28" s="440">
        <f>E28/$E$28</f>
        <v>1</v>
      </c>
      <c r="G28" s="439">
        <f>SUM(G24:G27)</f>
        <v>37634400</v>
      </c>
      <c r="N28" s="438" t="s">
        <v>27</v>
      </c>
      <c r="O28" s="439">
        <f>SUM(O24:O27)</f>
        <v>4352000</v>
      </c>
      <c r="P28" s="440">
        <f>O28/$O$28</f>
        <v>1</v>
      </c>
      <c r="Q28" s="439">
        <f>SUM(Q24:Q27)</f>
        <v>16270642</v>
      </c>
      <c r="R28" s="440">
        <f>Q28/$Q$28</f>
        <v>1</v>
      </c>
      <c r="S28" s="439">
        <f>SUM(S24:S27)</f>
        <v>17011758</v>
      </c>
      <c r="T28" s="440">
        <f>S28/$S$28</f>
        <v>1</v>
      </c>
      <c r="U28" s="439">
        <f>SUM(U24:U27)</f>
        <v>33282400</v>
      </c>
    </row>
    <row r="30" spans="1:21" x14ac:dyDescent="0.2">
      <c r="J30" s="451">
        <f>D36-933500</f>
        <v>888889</v>
      </c>
    </row>
    <row r="31" spans="1:21" ht="13.5" customHeight="1" x14ac:dyDescent="0.2">
      <c r="B31" s="649" t="s">
        <v>319</v>
      </c>
      <c r="C31" s="649"/>
      <c r="D31" s="649"/>
      <c r="E31" s="649"/>
      <c r="F31" s="649"/>
      <c r="G31" s="649"/>
      <c r="H31" s="649"/>
    </row>
    <row r="32" spans="1:21" x14ac:dyDescent="0.2">
      <c r="B32" s="650" t="s">
        <v>299</v>
      </c>
      <c r="C32" s="441" t="s">
        <v>300</v>
      </c>
      <c r="D32" s="650" t="s">
        <v>234</v>
      </c>
      <c r="E32" s="650" t="s">
        <v>302</v>
      </c>
      <c r="F32" s="650" t="s">
        <v>303</v>
      </c>
      <c r="G32" s="650" t="s">
        <v>314</v>
      </c>
      <c r="H32" s="650" t="s">
        <v>303</v>
      </c>
      <c r="L32" s="451"/>
    </row>
    <row r="33" spans="2:12" x14ac:dyDescent="0.2">
      <c r="B33" s="650"/>
      <c r="C33" s="441" t="s">
        <v>301</v>
      </c>
      <c r="D33" s="650"/>
      <c r="E33" s="650"/>
      <c r="F33" s="650"/>
      <c r="G33" s="650"/>
      <c r="H33" s="650"/>
    </row>
    <row r="34" spans="2:12" x14ac:dyDescent="0.2">
      <c r="B34" s="442" t="s">
        <v>304</v>
      </c>
      <c r="C34" s="443">
        <f>C39-SUM(C35:C38)</f>
        <v>0</v>
      </c>
      <c r="D34" s="443">
        <f>D39-SUM(D35:D38)</f>
        <v>16270641.699999999</v>
      </c>
      <c r="E34" s="443">
        <f t="shared" ref="E34:E39" si="3">SUM(C34:D34)</f>
        <v>16270641.699999999</v>
      </c>
      <c r="F34" s="449">
        <f t="shared" ref="F34:F39" si="4">E34/$E$39</f>
        <v>0.43233429256212397</v>
      </c>
      <c r="G34" s="448">
        <f>E34-0</f>
        <v>16270641.699999999</v>
      </c>
      <c r="H34" s="411">
        <f t="shared" ref="H34:H39" si="5">G34/$G$39</f>
        <v>0.48922591867689469</v>
      </c>
    </row>
    <row r="35" spans="2:12" x14ac:dyDescent="0.2">
      <c r="B35" s="442" t="s">
        <v>305</v>
      </c>
      <c r="C35" s="443">
        <v>0</v>
      </c>
      <c r="D35" s="443">
        <f>8401500+8000000</f>
        <v>16401500</v>
      </c>
      <c r="E35" s="443">
        <f>SUM(C35:D35)</f>
        <v>16401500</v>
      </c>
      <c r="F35" s="449">
        <f t="shared" si="4"/>
        <v>0.43581138532831665</v>
      </c>
      <c r="G35" s="448">
        <f>E35-SUM(O25:O27)</f>
        <v>14091500</v>
      </c>
      <c r="H35" s="411">
        <f t="shared" si="5"/>
        <v>0.42370345067800624</v>
      </c>
      <c r="L35" s="87"/>
    </row>
    <row r="36" spans="2:12" x14ac:dyDescent="0.2">
      <c r="B36" s="442" t="s">
        <v>306</v>
      </c>
      <c r="C36" s="443">
        <f>'T24 Cost Estimates'!E28+'T24 Cost Estimates'!E36+'T24 Cost Estimates'!E22</f>
        <v>3115400</v>
      </c>
      <c r="D36" s="443">
        <v>1822389</v>
      </c>
      <c r="E36" s="443">
        <f t="shared" si="3"/>
        <v>4937789</v>
      </c>
      <c r="F36" s="449">
        <f t="shared" si="4"/>
        <v>0.1312041377038029</v>
      </c>
      <c r="G36" s="448">
        <f>E36-O24</f>
        <v>2895789</v>
      </c>
      <c r="H36" s="411">
        <f t="shared" si="5"/>
        <v>8.707063064509904E-2</v>
      </c>
      <c r="L36" s="87"/>
    </row>
    <row r="37" spans="2:12" ht="25.5" x14ac:dyDescent="0.2">
      <c r="B37" s="442" t="s">
        <v>315</v>
      </c>
      <c r="C37" s="443">
        <v>0</v>
      </c>
      <c r="D37" s="443">
        <v>24469.3</v>
      </c>
      <c r="E37" s="443">
        <f t="shared" si="3"/>
        <v>24469.3</v>
      </c>
      <c r="F37" s="449">
        <f t="shared" si="4"/>
        <v>6.5018440575643555E-4</v>
      </c>
      <c r="G37" s="4">
        <v>0</v>
      </c>
      <c r="H37" s="411">
        <f t="shared" si="5"/>
        <v>0</v>
      </c>
      <c r="K37" s="451"/>
      <c r="L37" s="87"/>
    </row>
    <row r="38" spans="2:12" ht="25.5" x14ac:dyDescent="0.2">
      <c r="B38" s="442" t="s">
        <v>316</v>
      </c>
      <c r="C38" s="443">
        <v>0</v>
      </c>
      <c r="D38" s="443">
        <v>0</v>
      </c>
      <c r="E38" s="443">
        <f t="shared" si="3"/>
        <v>0</v>
      </c>
      <c r="F38" s="449">
        <f t="shared" si="4"/>
        <v>0</v>
      </c>
      <c r="G38" s="4">
        <v>0</v>
      </c>
      <c r="H38" s="411">
        <f t="shared" si="5"/>
        <v>0</v>
      </c>
      <c r="L38" s="87"/>
    </row>
    <row r="39" spans="2:12" x14ac:dyDescent="0.2">
      <c r="B39" s="444" t="s">
        <v>307</v>
      </c>
      <c r="C39" s="445">
        <f>O11+O13+O15</f>
        <v>3115400</v>
      </c>
      <c r="D39" s="445">
        <f>O12+O14+O16</f>
        <v>34519000</v>
      </c>
      <c r="E39" s="445">
        <f t="shared" si="3"/>
        <v>37634400</v>
      </c>
      <c r="F39" s="450">
        <f t="shared" si="4"/>
        <v>1</v>
      </c>
      <c r="G39" s="471">
        <f>SUM(G34:G38)</f>
        <v>33257930.699999999</v>
      </c>
      <c r="H39" s="472">
        <f t="shared" si="5"/>
        <v>1</v>
      </c>
    </row>
    <row r="41" spans="2:12" x14ac:dyDescent="0.2">
      <c r="B41" s="645" t="s">
        <v>320</v>
      </c>
      <c r="C41" s="645"/>
      <c r="D41" s="645"/>
      <c r="E41" s="645"/>
      <c r="F41" s="645"/>
    </row>
    <row r="42" spans="2:12" x14ac:dyDescent="0.2">
      <c r="B42" s="433" t="s">
        <v>308</v>
      </c>
      <c r="C42" s="434">
        <v>2017</v>
      </c>
      <c r="D42" s="434">
        <v>2018</v>
      </c>
      <c r="E42" s="434">
        <v>2019</v>
      </c>
      <c r="F42" s="434" t="s">
        <v>309</v>
      </c>
      <c r="I42" s="473">
        <f>1-F34</f>
        <v>0.56766570743787603</v>
      </c>
    </row>
    <row r="43" spans="2:12" x14ac:dyDescent="0.2">
      <c r="B43" s="435" t="s">
        <v>310</v>
      </c>
      <c r="C43" s="436">
        <f>SUM(C11:F11)+SUM(C13:F13)+SUM(C15:F15)</f>
        <v>822600</v>
      </c>
      <c r="D43" s="436">
        <f>SUM(G11:J11)+SUM(G13:J13)+SUM(G15:J15)</f>
        <v>1863440</v>
      </c>
      <c r="E43" s="436">
        <f>SUM(K11:N11)+SUM(K13:N13)+SUM(K15:N15)</f>
        <v>429360</v>
      </c>
      <c r="F43" s="436">
        <f>SUM(C43:E43)</f>
        <v>3115400</v>
      </c>
      <c r="I43" s="473">
        <f>H39-H34</f>
        <v>0.51077408132310531</v>
      </c>
      <c r="J43" s="451">
        <f>E35+E37</f>
        <v>16425969.300000001</v>
      </c>
    </row>
    <row r="44" spans="2:12" x14ac:dyDescent="0.2">
      <c r="B44" s="435" t="s">
        <v>123</v>
      </c>
      <c r="C44" s="436">
        <f>SUM(C16:F16)</f>
        <v>0</v>
      </c>
      <c r="D44" s="436">
        <f>SUM(G16:J16)</f>
        <v>0</v>
      </c>
      <c r="E44" s="436">
        <f>SUM(K16:N16)</f>
        <v>11957000</v>
      </c>
      <c r="F44" s="436">
        <f>SUM(C44:E44)</f>
        <v>11957000</v>
      </c>
    </row>
    <row r="45" spans="2:12" x14ac:dyDescent="0.2">
      <c r="B45" s="435" t="s">
        <v>168</v>
      </c>
      <c r="C45" s="436">
        <f>SUM(C12:F12)</f>
        <v>0</v>
      </c>
      <c r="D45" s="436">
        <f>SUM(G12:J12)</f>
        <v>5775000</v>
      </c>
      <c r="E45" s="436">
        <f>SUM(K12:N12)</f>
        <v>5775000</v>
      </c>
      <c r="F45" s="436">
        <f>SUM(C45:E45)</f>
        <v>11550000</v>
      </c>
    </row>
    <row r="46" spans="2:12" x14ac:dyDescent="0.2">
      <c r="B46" s="435" t="s">
        <v>128</v>
      </c>
      <c r="C46" s="436">
        <f>SUM(C14:F14)</f>
        <v>0</v>
      </c>
      <c r="D46" s="436">
        <f>SUM(G14:J14)</f>
        <v>3303600</v>
      </c>
      <c r="E46" s="436">
        <f>SUM(K14:N14)</f>
        <v>7708400</v>
      </c>
      <c r="F46" s="436">
        <f>SUM(C46:E46)</f>
        <v>11012000</v>
      </c>
    </row>
    <row r="47" spans="2:12" x14ac:dyDescent="0.2">
      <c r="B47" s="438" t="s">
        <v>311</v>
      </c>
      <c r="C47" s="439">
        <f>SUM(C43:C46)</f>
        <v>822600</v>
      </c>
      <c r="D47" s="439">
        <f>SUM(D43:D46)</f>
        <v>10942040</v>
      </c>
      <c r="E47" s="439">
        <f>SUM(E43:E46)</f>
        <v>25869760</v>
      </c>
      <c r="F47" s="439">
        <f>SUM(F43:F46)</f>
        <v>37634400</v>
      </c>
    </row>
    <row r="50" spans="2:21" ht="13.5" customHeight="1" x14ac:dyDescent="0.2">
      <c r="B50" s="645" t="s">
        <v>317</v>
      </c>
      <c r="C50" s="645"/>
      <c r="D50" s="645"/>
      <c r="E50" s="645"/>
      <c r="F50" s="645"/>
      <c r="G50" s="645"/>
      <c r="H50" s="446"/>
      <c r="I50" s="446"/>
      <c r="J50" s="446"/>
      <c r="K50" s="446"/>
      <c r="L50" s="446"/>
      <c r="M50" s="446"/>
      <c r="N50" s="648" t="s">
        <v>318</v>
      </c>
      <c r="O50" s="648"/>
      <c r="P50" s="648"/>
      <c r="Q50" s="648"/>
      <c r="R50" s="648"/>
      <c r="S50" s="648"/>
      <c r="T50" s="648"/>
      <c r="U50" s="648"/>
    </row>
    <row r="51" spans="2:21" x14ac:dyDescent="0.2">
      <c r="B51" s="432"/>
      <c r="C51" s="645" t="s">
        <v>312</v>
      </c>
      <c r="D51" s="645"/>
      <c r="E51" s="645"/>
      <c r="F51" s="645"/>
      <c r="G51" s="645"/>
      <c r="N51" s="432"/>
      <c r="O51" s="645" t="s">
        <v>313</v>
      </c>
      <c r="P51" s="645"/>
      <c r="Q51" s="645" t="s">
        <v>314</v>
      </c>
      <c r="R51" s="645"/>
      <c r="S51" s="645"/>
      <c r="T51" s="645"/>
      <c r="U51" s="645"/>
    </row>
    <row r="52" spans="2:21" x14ac:dyDescent="0.2">
      <c r="B52" s="433" t="s">
        <v>294</v>
      </c>
      <c r="C52" s="651" t="s">
        <v>295</v>
      </c>
      <c r="D52" s="651"/>
      <c r="E52" s="651" t="s">
        <v>296</v>
      </c>
      <c r="F52" s="651"/>
      <c r="G52" s="447" t="s">
        <v>0</v>
      </c>
      <c r="N52" s="433" t="s">
        <v>294</v>
      </c>
      <c r="O52" s="651" t="s">
        <v>296</v>
      </c>
      <c r="P52" s="651"/>
      <c r="Q52" s="652" t="s">
        <v>295</v>
      </c>
      <c r="R52" s="653"/>
      <c r="S52" s="651" t="s">
        <v>296</v>
      </c>
      <c r="T52" s="651"/>
      <c r="U52" s="434" t="s">
        <v>0</v>
      </c>
    </row>
    <row r="53" spans="2:21" x14ac:dyDescent="0.2">
      <c r="B53" s="433"/>
      <c r="C53" s="447" t="s">
        <v>297</v>
      </c>
      <c r="D53" s="447" t="s">
        <v>298</v>
      </c>
      <c r="E53" s="447" t="s">
        <v>297</v>
      </c>
      <c r="F53" s="447" t="s">
        <v>298</v>
      </c>
      <c r="G53" s="447" t="s">
        <v>297</v>
      </c>
      <c r="N53" s="433"/>
      <c r="O53" s="434" t="s">
        <v>297</v>
      </c>
      <c r="P53" s="434" t="s">
        <v>298</v>
      </c>
      <c r="Q53" s="434" t="s">
        <v>297</v>
      </c>
      <c r="R53" s="434" t="s">
        <v>298</v>
      </c>
      <c r="S53" s="434" t="s">
        <v>297</v>
      </c>
      <c r="T53" s="434" t="s">
        <v>298</v>
      </c>
      <c r="U53" s="434" t="s">
        <v>297</v>
      </c>
    </row>
    <row r="54" spans="2:21" x14ac:dyDescent="0.2">
      <c r="B54" s="435" t="s">
        <v>310</v>
      </c>
      <c r="C54" s="436">
        <f>ROUND(C24,-3)</f>
        <v>0</v>
      </c>
      <c r="D54" s="437">
        <f>D24</f>
        <v>0</v>
      </c>
      <c r="E54" s="28">
        <f>ROUND(E24,-3)</f>
        <v>3115000</v>
      </c>
      <c r="F54" s="437">
        <f>F24</f>
        <v>0.14582640376285858</v>
      </c>
      <c r="G54" s="436">
        <f>ROUND(G24,-3)</f>
        <v>3115000</v>
      </c>
      <c r="N54" s="435" t="s">
        <v>310</v>
      </c>
      <c r="O54" s="436">
        <f>ROUND(O24,-3)</f>
        <v>2042000</v>
      </c>
      <c r="P54" s="437">
        <f>P24</f>
        <v>0.46920955882352944</v>
      </c>
      <c r="Q54" s="436">
        <f>ROUND(Q24,-3)</f>
        <v>0</v>
      </c>
      <c r="R54" s="437">
        <f>R24</f>
        <v>0</v>
      </c>
      <c r="S54" s="436">
        <f>ROUND(S24,-3)</f>
        <v>1073000</v>
      </c>
      <c r="T54" s="437">
        <f>T24</f>
        <v>6.3097535245916381E-2</v>
      </c>
      <c r="U54" s="436">
        <f>ROUND(U24,-3)</f>
        <v>1073000</v>
      </c>
    </row>
    <row r="55" spans="2:21" x14ac:dyDescent="0.2">
      <c r="B55" s="435" t="s">
        <v>123</v>
      </c>
      <c r="C55" s="436">
        <f>ROUND(C25,-3)</f>
        <v>11933000</v>
      </c>
      <c r="D55" s="437">
        <f>D25</f>
        <v>0.73337800684201648</v>
      </c>
      <c r="E55" s="28">
        <f>ROUND(E25,-3)</f>
        <v>24000</v>
      </c>
      <c r="F55" s="437">
        <f>F25</f>
        <v>1.1453509256189852E-3</v>
      </c>
      <c r="G55" s="436">
        <f>ROUND(G25,-3)</f>
        <v>11957000</v>
      </c>
      <c r="N55" s="435" t="s">
        <v>123</v>
      </c>
      <c r="O55" s="436">
        <f>ROUND(O25,-3)</f>
        <v>0</v>
      </c>
      <c r="P55" s="437">
        <f>P25</f>
        <v>0</v>
      </c>
      <c r="Q55" s="436">
        <f>ROUND(Q25,-3)</f>
        <v>11933000</v>
      </c>
      <c r="R55" s="437">
        <f>R25</f>
        <v>0.73337800684201648</v>
      </c>
      <c r="S55" s="436">
        <f>ROUND(S25,-3)</f>
        <v>24000</v>
      </c>
      <c r="T55" s="437">
        <f>T25</f>
        <v>1.438358105023596E-3</v>
      </c>
      <c r="U55" s="436">
        <f>ROUND(U25,-3)</f>
        <v>11957000</v>
      </c>
    </row>
    <row r="56" spans="2:21" ht="25.5" x14ac:dyDescent="0.2">
      <c r="B56" s="435" t="s">
        <v>168</v>
      </c>
      <c r="C56" s="436">
        <f>ROUND(C26,-3)</f>
        <v>2215000</v>
      </c>
      <c r="D56" s="437">
        <f>D26</f>
        <v>0.1361347634592415</v>
      </c>
      <c r="E56" s="28">
        <f>ROUND(E26,-3)</f>
        <v>9335000</v>
      </c>
      <c r="F56" s="437">
        <f>F26</f>
        <v>0.4369549589543188</v>
      </c>
      <c r="G56" s="436">
        <f>ROUND(G26,-3)</f>
        <v>11550000</v>
      </c>
      <c r="N56" s="435" t="s">
        <v>168</v>
      </c>
      <c r="O56" s="436">
        <f>ROUND(O26,-3)</f>
        <v>2310000</v>
      </c>
      <c r="P56" s="437">
        <f>P26</f>
        <v>0.53079044117647056</v>
      </c>
      <c r="Q56" s="436">
        <f>ROUND(Q26,-3)</f>
        <v>2215000</v>
      </c>
      <c r="R56" s="437">
        <f>R26</f>
        <v>0.1361347634592415</v>
      </c>
      <c r="S56" s="436">
        <f>ROUND(S26,-3)</f>
        <v>7025000</v>
      </c>
      <c r="T56" s="437">
        <f>T26</f>
        <v>0.4129496786869411</v>
      </c>
      <c r="U56" s="436">
        <f>ROUND(U26,-3)</f>
        <v>9240000</v>
      </c>
    </row>
    <row r="57" spans="2:21" x14ac:dyDescent="0.2">
      <c r="B57" s="435" t="s">
        <v>128</v>
      </c>
      <c r="C57" s="436">
        <f>ROUND(C27,-3)</f>
        <v>2123000</v>
      </c>
      <c r="D57" s="437">
        <f>D27</f>
        <v>0.13048722969874207</v>
      </c>
      <c r="E57" s="28">
        <f>ROUND(E27,-3)</f>
        <v>8889000</v>
      </c>
      <c r="F57" s="437">
        <f>F27</f>
        <v>0</v>
      </c>
      <c r="G57" s="436">
        <f>ROUND(G27,-3)</f>
        <v>11012000</v>
      </c>
      <c r="N57" s="435" t="s">
        <v>128</v>
      </c>
      <c r="O57" s="436">
        <f>ROUND(O27,-3)</f>
        <v>0</v>
      </c>
      <c r="P57" s="437">
        <f>P27</f>
        <v>0</v>
      </c>
      <c r="Q57" s="436">
        <f>ROUND(Q27,-3)</f>
        <v>2123000</v>
      </c>
      <c r="R57" s="437">
        <f>R27</f>
        <v>0.13048722969874207</v>
      </c>
      <c r="S57" s="436">
        <f>ROUND(S27,-3)</f>
        <v>8889000</v>
      </c>
      <c r="T57" s="437">
        <f>T27</f>
        <v>0.52251442796211889</v>
      </c>
      <c r="U57" s="436">
        <f>ROUND(U27,-3)</f>
        <v>11012000</v>
      </c>
    </row>
    <row r="58" spans="2:21" x14ac:dyDescent="0.2">
      <c r="B58" s="438" t="s">
        <v>27</v>
      </c>
      <c r="C58" s="439">
        <f>ROUND(C28,-3)</f>
        <v>16271000</v>
      </c>
      <c r="D58" s="440">
        <f>D28</f>
        <v>1</v>
      </c>
      <c r="E58" s="28">
        <f>ROUND(E28,-3)</f>
        <v>21364000</v>
      </c>
      <c r="F58" s="440">
        <f>F28</f>
        <v>1</v>
      </c>
      <c r="G58" s="439">
        <f>ROUND(G28,-3)</f>
        <v>37634000</v>
      </c>
      <c r="N58" s="438" t="s">
        <v>27</v>
      </c>
      <c r="O58" s="439">
        <f>ROUND(O28,-3)</f>
        <v>4352000</v>
      </c>
      <c r="P58" s="440">
        <f>P28</f>
        <v>1</v>
      </c>
      <c r="Q58" s="439">
        <f>ROUND(Q28,-3)</f>
        <v>16271000</v>
      </c>
      <c r="R58" s="440">
        <f>R28</f>
        <v>1</v>
      </c>
      <c r="S58" s="439">
        <f>ROUND(S28,-3)</f>
        <v>17012000</v>
      </c>
      <c r="T58" s="440">
        <f>T28</f>
        <v>1</v>
      </c>
      <c r="U58" s="439">
        <f>ROUND(U28,-3)</f>
        <v>33282000</v>
      </c>
    </row>
    <row r="61" spans="2:21" ht="12.75" customHeight="1" x14ac:dyDescent="0.2">
      <c r="B61" s="649" t="s">
        <v>319</v>
      </c>
      <c r="C61" s="649"/>
      <c r="D61" s="649"/>
      <c r="E61" s="649"/>
      <c r="F61" s="649"/>
      <c r="G61" s="649"/>
      <c r="H61" s="649"/>
    </row>
    <row r="62" spans="2:21" x14ac:dyDescent="0.2">
      <c r="B62" s="650" t="s">
        <v>299</v>
      </c>
      <c r="C62" s="441" t="s">
        <v>300</v>
      </c>
      <c r="D62" s="650" t="s">
        <v>234</v>
      </c>
      <c r="E62" s="650" t="s">
        <v>302</v>
      </c>
      <c r="F62" s="650" t="s">
        <v>303</v>
      </c>
      <c r="G62" s="650" t="s">
        <v>314</v>
      </c>
      <c r="H62" s="650" t="s">
        <v>303</v>
      </c>
      <c r="L62" s="451"/>
    </row>
    <row r="63" spans="2:21" x14ac:dyDescent="0.2">
      <c r="B63" s="650"/>
      <c r="C63" s="441" t="s">
        <v>301</v>
      </c>
      <c r="D63" s="650"/>
      <c r="E63" s="650"/>
      <c r="F63" s="650"/>
      <c r="G63" s="650"/>
      <c r="H63" s="650"/>
    </row>
    <row r="64" spans="2:21" x14ac:dyDescent="0.2">
      <c r="B64" s="442" t="s">
        <v>304</v>
      </c>
      <c r="C64" s="443">
        <f t="shared" ref="C64:E69" si="6">ROUND(C34,-3)</f>
        <v>0</v>
      </c>
      <c r="D64" s="443">
        <f t="shared" si="6"/>
        <v>16271000</v>
      </c>
      <c r="E64" s="443">
        <f t="shared" si="6"/>
        <v>16271000</v>
      </c>
      <c r="F64" s="449">
        <f t="shared" ref="F64:F69" si="7">F34</f>
        <v>0.43233429256212397</v>
      </c>
      <c r="G64" s="448">
        <f t="shared" ref="G64:G69" si="8">ROUND(G34,-3)</f>
        <v>16271000</v>
      </c>
      <c r="H64" s="411">
        <f t="shared" ref="H64:H69" si="9">H34</f>
        <v>0.48922591867689469</v>
      </c>
    </row>
    <row r="65" spans="2:11" x14ac:dyDescent="0.2">
      <c r="B65" s="442" t="s">
        <v>305</v>
      </c>
      <c r="C65" s="443">
        <f t="shared" si="6"/>
        <v>0</v>
      </c>
      <c r="D65" s="443">
        <f t="shared" si="6"/>
        <v>16402000</v>
      </c>
      <c r="E65" s="443">
        <f t="shared" si="6"/>
        <v>16402000</v>
      </c>
      <c r="F65" s="449">
        <f t="shared" si="7"/>
        <v>0.43581138532831665</v>
      </c>
      <c r="G65" s="448">
        <f t="shared" si="8"/>
        <v>14092000</v>
      </c>
      <c r="H65" s="411">
        <f t="shared" si="9"/>
        <v>0.42370345067800624</v>
      </c>
    </row>
    <row r="66" spans="2:11" x14ac:dyDescent="0.2">
      <c r="B66" s="442" t="s">
        <v>306</v>
      </c>
      <c r="C66" s="443">
        <f t="shared" si="6"/>
        <v>3115000</v>
      </c>
      <c r="D66" s="443">
        <f t="shared" si="6"/>
        <v>1822000</v>
      </c>
      <c r="E66" s="443">
        <f t="shared" si="6"/>
        <v>4938000</v>
      </c>
      <c r="F66" s="449">
        <f t="shared" si="7"/>
        <v>0.1312041377038029</v>
      </c>
      <c r="G66" s="448">
        <f t="shared" si="8"/>
        <v>2896000</v>
      </c>
      <c r="H66" s="411">
        <f t="shared" si="9"/>
        <v>8.707063064509904E-2</v>
      </c>
    </row>
    <row r="67" spans="2:11" ht="25.5" x14ac:dyDescent="0.2">
      <c r="B67" s="442" t="s">
        <v>315</v>
      </c>
      <c r="C67" s="443">
        <f t="shared" si="6"/>
        <v>0</v>
      </c>
      <c r="D67" s="443">
        <f t="shared" si="6"/>
        <v>24000</v>
      </c>
      <c r="E67" s="443">
        <f t="shared" si="6"/>
        <v>24000</v>
      </c>
      <c r="F67" s="449">
        <f t="shared" si="7"/>
        <v>6.5018440575643555E-4</v>
      </c>
      <c r="G67" s="4">
        <f t="shared" si="8"/>
        <v>0</v>
      </c>
      <c r="H67" s="411">
        <f t="shared" si="9"/>
        <v>0</v>
      </c>
      <c r="K67" s="451"/>
    </row>
    <row r="68" spans="2:11" ht="25.5" x14ac:dyDescent="0.2">
      <c r="B68" s="442" t="s">
        <v>316</v>
      </c>
      <c r="C68" s="443">
        <f t="shared" si="6"/>
        <v>0</v>
      </c>
      <c r="D68" s="443">
        <f t="shared" si="6"/>
        <v>0</v>
      </c>
      <c r="E68" s="443">
        <f t="shared" si="6"/>
        <v>0</v>
      </c>
      <c r="F68" s="449">
        <f t="shared" si="7"/>
        <v>0</v>
      </c>
      <c r="G68" s="4">
        <f t="shared" si="8"/>
        <v>0</v>
      </c>
      <c r="H68" s="411">
        <f t="shared" si="9"/>
        <v>0</v>
      </c>
    </row>
    <row r="69" spans="2:11" x14ac:dyDescent="0.2">
      <c r="B69" s="444" t="s">
        <v>307</v>
      </c>
      <c r="C69" s="445">
        <f t="shared" si="6"/>
        <v>3115000</v>
      </c>
      <c r="D69" s="445">
        <f t="shared" si="6"/>
        <v>34519000</v>
      </c>
      <c r="E69" s="445">
        <f t="shared" si="6"/>
        <v>37634000</v>
      </c>
      <c r="F69" s="450">
        <f t="shared" si="7"/>
        <v>1</v>
      </c>
      <c r="G69" s="471">
        <f t="shared" si="8"/>
        <v>33258000</v>
      </c>
      <c r="H69" s="472">
        <f t="shared" si="9"/>
        <v>1</v>
      </c>
    </row>
    <row r="71" spans="2:11" x14ac:dyDescent="0.2">
      <c r="B71" s="645" t="s">
        <v>320</v>
      </c>
      <c r="C71" s="645"/>
      <c r="D71" s="645"/>
      <c r="E71" s="645"/>
      <c r="F71" s="645"/>
    </row>
    <row r="72" spans="2:11" x14ac:dyDescent="0.2">
      <c r="B72" s="433" t="s">
        <v>308</v>
      </c>
      <c r="C72" s="434">
        <v>2017</v>
      </c>
      <c r="D72" s="434">
        <v>2018</v>
      </c>
      <c r="E72" s="434">
        <v>2019</v>
      </c>
      <c r="F72" s="434" t="s">
        <v>309</v>
      </c>
    </row>
    <row r="73" spans="2:11" x14ac:dyDescent="0.2">
      <c r="B73" s="435" t="s">
        <v>310</v>
      </c>
      <c r="C73" s="436">
        <f t="shared" ref="C73:F77" si="10">ROUND(C43,-3)</f>
        <v>823000</v>
      </c>
      <c r="D73" s="436">
        <f t="shared" si="10"/>
        <v>1863000</v>
      </c>
      <c r="E73" s="436">
        <f t="shared" si="10"/>
        <v>429000</v>
      </c>
      <c r="F73" s="436">
        <f t="shared" si="10"/>
        <v>3115000</v>
      </c>
    </row>
    <row r="74" spans="2:11" x14ac:dyDescent="0.2">
      <c r="B74" s="435" t="s">
        <v>123</v>
      </c>
      <c r="C74" s="436">
        <f t="shared" si="10"/>
        <v>0</v>
      </c>
      <c r="D74" s="436">
        <f t="shared" si="10"/>
        <v>0</v>
      </c>
      <c r="E74" s="436">
        <f t="shared" si="10"/>
        <v>11957000</v>
      </c>
      <c r="F74" s="436">
        <f t="shared" si="10"/>
        <v>11957000</v>
      </c>
    </row>
    <row r="75" spans="2:11" x14ac:dyDescent="0.2">
      <c r="B75" s="435" t="s">
        <v>168</v>
      </c>
      <c r="C75" s="436">
        <f t="shared" si="10"/>
        <v>0</v>
      </c>
      <c r="D75" s="436">
        <f t="shared" si="10"/>
        <v>5775000</v>
      </c>
      <c r="E75" s="436">
        <f t="shared" si="10"/>
        <v>5775000</v>
      </c>
      <c r="F75" s="436">
        <f t="shared" si="10"/>
        <v>11550000</v>
      </c>
    </row>
    <row r="76" spans="2:11" x14ac:dyDescent="0.2">
      <c r="B76" s="435" t="s">
        <v>128</v>
      </c>
      <c r="C76" s="436">
        <f t="shared" si="10"/>
        <v>0</v>
      </c>
      <c r="D76" s="436">
        <f t="shared" si="10"/>
        <v>3304000</v>
      </c>
      <c r="E76" s="436">
        <f t="shared" si="10"/>
        <v>7708000</v>
      </c>
      <c r="F76" s="436">
        <f t="shared" si="10"/>
        <v>11012000</v>
      </c>
    </row>
    <row r="77" spans="2:11" x14ac:dyDescent="0.2">
      <c r="B77" s="438" t="s">
        <v>311</v>
      </c>
      <c r="C77" s="439">
        <f t="shared" si="10"/>
        <v>823000</v>
      </c>
      <c r="D77" s="439">
        <f t="shared" si="10"/>
        <v>10942000</v>
      </c>
      <c r="E77" s="439">
        <f t="shared" si="10"/>
        <v>25870000</v>
      </c>
      <c r="F77" s="439">
        <f t="shared" si="10"/>
        <v>37634000</v>
      </c>
    </row>
  </sheetData>
  <mergeCells count="45">
    <mergeCell ref="B32:B33"/>
    <mergeCell ref="D32:D33"/>
    <mergeCell ref="S22:T22"/>
    <mergeCell ref="C21:G21"/>
    <mergeCell ref="O21:P21"/>
    <mergeCell ref="Q21:U21"/>
    <mergeCell ref="C22:D22"/>
    <mergeCell ref="E22:F22"/>
    <mergeCell ref="A2:B2"/>
    <mergeCell ref="A3:A4"/>
    <mergeCell ref="A5:A6"/>
    <mergeCell ref="A7:A8"/>
    <mergeCell ref="A10:B10"/>
    <mergeCell ref="E52:F52"/>
    <mergeCell ref="O52:P52"/>
    <mergeCell ref="Q52:R52"/>
    <mergeCell ref="S52:T52"/>
    <mergeCell ref="A11:A12"/>
    <mergeCell ref="A13:A14"/>
    <mergeCell ref="A15:A16"/>
    <mergeCell ref="A17:B17"/>
    <mergeCell ref="E32:E33"/>
    <mergeCell ref="F32:F33"/>
    <mergeCell ref="Q22:R22"/>
    <mergeCell ref="G32:G33"/>
    <mergeCell ref="H32:H33"/>
    <mergeCell ref="B31:H31"/>
    <mergeCell ref="B41:F41"/>
    <mergeCell ref="O22:P22"/>
    <mergeCell ref="B71:F71"/>
    <mergeCell ref="B20:G20"/>
    <mergeCell ref="N20:U20"/>
    <mergeCell ref="B50:G50"/>
    <mergeCell ref="N50:U50"/>
    <mergeCell ref="B61:H61"/>
    <mergeCell ref="B62:B63"/>
    <mergeCell ref="D62:D63"/>
    <mergeCell ref="E62:E63"/>
    <mergeCell ref="F62:F63"/>
    <mergeCell ref="G62:G63"/>
    <mergeCell ref="H62:H63"/>
    <mergeCell ref="C51:G51"/>
    <mergeCell ref="O51:P51"/>
    <mergeCell ref="Q51:U51"/>
    <mergeCell ref="C52:D52"/>
  </mergeCells>
  <pageMargins left="0.25" right="0.25"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
  <sheetViews>
    <sheetView workbookViewId="0">
      <selection activeCell="A3" sqref="A3"/>
    </sheetView>
  </sheetViews>
  <sheetFormatPr defaultRowHeight="12.75" x14ac:dyDescent="0.2"/>
  <cols>
    <col min="1" max="1" width="28.140625" style="1" customWidth="1"/>
    <col min="2" max="2" width="9.7109375" style="1" hidden="1" customWidth="1"/>
    <col min="3" max="3" width="9.140625" style="1" hidden="1" customWidth="1"/>
    <col min="4" max="13" width="9.140625" style="1" customWidth="1"/>
    <col min="14" max="16384" width="9.140625" style="1"/>
  </cols>
  <sheetData>
    <row r="2" spans="1:14" ht="13.5" thickBot="1" x14ac:dyDescent="0.25"/>
    <row r="3" spans="1:14" ht="42.75" x14ac:dyDescent="0.2">
      <c r="A3" s="14" t="s">
        <v>79</v>
      </c>
      <c r="B3" s="15" t="s">
        <v>30</v>
      </c>
      <c r="C3" s="15" t="s">
        <v>31</v>
      </c>
      <c r="D3" s="15" t="s">
        <v>32</v>
      </c>
      <c r="E3" s="15" t="s">
        <v>115</v>
      </c>
      <c r="F3" s="15" t="s">
        <v>124</v>
      </c>
      <c r="G3" s="15" t="s">
        <v>125</v>
      </c>
      <c r="H3" s="15" t="s">
        <v>126</v>
      </c>
      <c r="I3" s="15" t="s">
        <v>127</v>
      </c>
      <c r="J3" s="15" t="s">
        <v>274</v>
      </c>
      <c r="K3" s="15" t="s">
        <v>275</v>
      </c>
      <c r="L3" s="15" t="s">
        <v>276</v>
      </c>
      <c r="M3" s="15" t="s">
        <v>277</v>
      </c>
      <c r="N3" s="74" t="s">
        <v>27</v>
      </c>
    </row>
    <row r="4" spans="1:14" ht="15" x14ac:dyDescent="0.25">
      <c r="A4" s="16" t="s">
        <v>80</v>
      </c>
      <c r="B4" s="11">
        <f>ROUND(('T27 Capital Expenditure'!C17/76923)*0.64,0)</f>
        <v>0</v>
      </c>
      <c r="C4" s="4">
        <f>ROUND(('T27 Capital Expenditure'!D17/76923)*0.64,0)</f>
        <v>0</v>
      </c>
      <c r="D4" s="4">
        <f>ROUND(('T27 Capital Expenditure'!E17/76923)*0.64,0)</f>
        <v>2</v>
      </c>
      <c r="E4" s="4">
        <f>ROUND(('T27 Capital Expenditure'!F17/76923)*0.64,0)</f>
        <v>5</v>
      </c>
      <c r="F4" s="4">
        <f>ROUND(('T27 Capital Expenditure'!G17/76923)*0.64,0)</f>
        <v>8</v>
      </c>
      <c r="G4" s="4">
        <f>ROUND(('T27 Capital Expenditure'!H17/76923)*0.64,0)</f>
        <v>22</v>
      </c>
      <c r="H4" s="4">
        <f>ROUND(('T27 Capital Expenditure'!I17/76923)*0.64,0)</f>
        <v>31</v>
      </c>
      <c r="I4" s="4">
        <f>ROUND(('T27 Capital Expenditure'!J17/76923)*0.64,0)</f>
        <v>31</v>
      </c>
      <c r="J4" s="4">
        <f>ROUND(('T27 Capital Expenditure'!K17/76923)*0.64,0)</f>
        <v>66</v>
      </c>
      <c r="K4" s="4">
        <f>ROUND(('T27 Capital Expenditure'!L17/76923)*0.64,0)</f>
        <v>67</v>
      </c>
      <c r="L4" s="4">
        <f>ROUND(('T27 Capital Expenditure'!M17/76923)*0.64,0)</f>
        <v>48</v>
      </c>
      <c r="M4" s="4">
        <f>ROUND(('T27 Capital Expenditure'!N17/76923)*0.64,0)</f>
        <v>34</v>
      </c>
      <c r="N4" s="75">
        <f>SUM(B4:M4)</f>
        <v>314</v>
      </c>
    </row>
    <row r="5" spans="1:14" ht="15" x14ac:dyDescent="0.25">
      <c r="A5" s="16" t="s">
        <v>81</v>
      </c>
      <c r="B5" s="11">
        <f>ROUND(('T27 Capital Expenditure'!C17/76923)*0.36,0)</f>
        <v>0</v>
      </c>
      <c r="C5" s="4">
        <f>ROUND(('T27 Capital Expenditure'!D17/76923)*0.36,0)</f>
        <v>0</v>
      </c>
      <c r="D5" s="4">
        <f>ROUND(('T27 Capital Expenditure'!E17/76923)*0.36,0)</f>
        <v>1</v>
      </c>
      <c r="E5" s="4">
        <f>ROUND(('T27 Capital Expenditure'!F17/76923)*0.36,0)</f>
        <v>3</v>
      </c>
      <c r="F5" s="4">
        <f>ROUND(('T27 Capital Expenditure'!G17/76923)*0.36,0)</f>
        <v>4</v>
      </c>
      <c r="G5" s="4">
        <f>ROUND(('T27 Capital Expenditure'!H17/76923)*0.36,0)</f>
        <v>12</v>
      </c>
      <c r="H5" s="4">
        <f>ROUND(('T27 Capital Expenditure'!I17/76923)*0.36,0)</f>
        <v>17</v>
      </c>
      <c r="I5" s="4">
        <f>ROUND(('T27 Capital Expenditure'!J17/76923)*0.36,0)</f>
        <v>17</v>
      </c>
      <c r="J5" s="4">
        <f>ROUND(('T27 Capital Expenditure'!K17/76923)*0.36,0)</f>
        <v>37</v>
      </c>
      <c r="K5" s="4">
        <f>ROUND(('T27 Capital Expenditure'!L17/76923)*0.36,0)</f>
        <v>38</v>
      </c>
      <c r="L5" s="4">
        <f>ROUND(('T27 Capital Expenditure'!M17/76923)*0.36,0)</f>
        <v>27</v>
      </c>
      <c r="M5" s="4">
        <f>ROUND(('T27 Capital Expenditure'!N17/76923)*0.36,0)</f>
        <v>19</v>
      </c>
      <c r="N5" s="75">
        <f>SUM(B5:M5)</f>
        <v>175</v>
      </c>
    </row>
    <row r="6" spans="1:14" ht="15" thickBot="1" x14ac:dyDescent="0.25">
      <c r="A6" s="76" t="s">
        <v>27</v>
      </c>
      <c r="B6" s="77">
        <f>SUM(B4:B5)</f>
        <v>0</v>
      </c>
      <c r="C6" s="78">
        <f t="shared" ref="C6:M6" si="0">SUM(C4:C5)</f>
        <v>0</v>
      </c>
      <c r="D6" s="78">
        <f t="shared" si="0"/>
        <v>3</v>
      </c>
      <c r="E6" s="78">
        <f t="shared" si="0"/>
        <v>8</v>
      </c>
      <c r="F6" s="78">
        <f t="shared" si="0"/>
        <v>12</v>
      </c>
      <c r="G6" s="78">
        <f t="shared" si="0"/>
        <v>34</v>
      </c>
      <c r="H6" s="78">
        <f t="shared" si="0"/>
        <v>48</v>
      </c>
      <c r="I6" s="78">
        <f t="shared" si="0"/>
        <v>48</v>
      </c>
      <c r="J6" s="78">
        <f t="shared" si="0"/>
        <v>103</v>
      </c>
      <c r="K6" s="78">
        <f t="shared" si="0"/>
        <v>105</v>
      </c>
      <c r="L6" s="78">
        <f t="shared" si="0"/>
        <v>75</v>
      </c>
      <c r="M6" s="78">
        <f t="shared" si="0"/>
        <v>53</v>
      </c>
      <c r="N6" s="79">
        <f>SUM(N4:N5)</f>
        <v>489</v>
      </c>
    </row>
    <row r="23" spans="16:16" x14ac:dyDescent="0.2">
      <c r="P23" s="81"/>
    </row>
  </sheetData>
  <printOptions horizontalCentered="1"/>
  <pageMargins left="0.25" right="0.25" top="0.75" bottom="0.7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zoomScale="60" zoomScaleNormal="60" workbookViewId="0">
      <selection sqref="A1:K1"/>
    </sheetView>
  </sheetViews>
  <sheetFormatPr defaultRowHeight="12.75" x14ac:dyDescent="0.2"/>
  <cols>
    <col min="1" max="1" width="86.140625" style="264" bestFit="1" customWidth="1"/>
    <col min="2" max="5" width="14.28515625" style="264" customWidth="1"/>
    <col min="6" max="6" width="14.28515625" style="1" customWidth="1"/>
    <col min="7" max="11" width="15.28515625" style="1" customWidth="1"/>
    <col min="12" max="16384" width="9.140625" style="1"/>
  </cols>
  <sheetData>
    <row r="1" spans="1:12" ht="15.75" customHeight="1" x14ac:dyDescent="0.2">
      <c r="A1" s="660" t="s">
        <v>46</v>
      </c>
      <c r="B1" s="660"/>
      <c r="C1" s="660"/>
      <c r="D1" s="660"/>
      <c r="E1" s="660"/>
      <c r="F1" s="660"/>
      <c r="G1" s="660"/>
      <c r="H1" s="660"/>
      <c r="I1" s="660"/>
      <c r="J1" s="660"/>
      <c r="K1" s="660"/>
    </row>
    <row r="2" spans="1:12" ht="15.75" customHeight="1" x14ac:dyDescent="0.2">
      <c r="A2" s="660" t="s">
        <v>243</v>
      </c>
      <c r="B2" s="660"/>
      <c r="C2" s="660"/>
      <c r="D2" s="660"/>
      <c r="E2" s="660"/>
      <c r="F2" s="660"/>
      <c r="G2" s="660"/>
      <c r="H2" s="660"/>
      <c r="I2" s="660"/>
      <c r="J2" s="660"/>
      <c r="K2" s="660"/>
    </row>
    <row r="3" spans="1:12" ht="15.75" customHeight="1" thickBot="1" x14ac:dyDescent="0.25">
      <c r="A3" s="370"/>
      <c r="B3" s="370"/>
      <c r="C3" s="370"/>
      <c r="D3" s="370"/>
      <c r="E3" s="370"/>
      <c r="F3" s="6"/>
    </row>
    <row r="4" spans="1:12" ht="38.25" x14ac:dyDescent="0.2">
      <c r="A4" s="371" t="s">
        <v>47</v>
      </c>
      <c r="B4" s="372" t="s">
        <v>48</v>
      </c>
      <c r="C4" s="372" t="s">
        <v>49</v>
      </c>
      <c r="D4" s="372" t="s">
        <v>76</v>
      </c>
      <c r="E4" s="372" t="s">
        <v>77</v>
      </c>
      <c r="F4" s="372" t="s">
        <v>78</v>
      </c>
      <c r="G4" s="372" t="s">
        <v>244</v>
      </c>
      <c r="H4" s="373" t="s">
        <v>73</v>
      </c>
      <c r="I4" s="373" t="s">
        <v>74</v>
      </c>
      <c r="J4" s="373" t="s">
        <v>75</v>
      </c>
      <c r="K4" s="374" t="s">
        <v>72</v>
      </c>
    </row>
    <row r="5" spans="1:12" x14ac:dyDescent="0.2">
      <c r="A5" s="375" t="s">
        <v>69</v>
      </c>
      <c r="B5" s="376">
        <v>316515021</v>
      </c>
      <c r="C5" s="376">
        <v>4625253</v>
      </c>
      <c r="D5" s="376">
        <v>52639</v>
      </c>
      <c r="E5" s="376">
        <v>21650</v>
      </c>
      <c r="F5" s="376">
        <v>44161</v>
      </c>
      <c r="G5" s="12"/>
      <c r="H5" s="377">
        <v>2314</v>
      </c>
      <c r="I5" s="377">
        <v>4135</v>
      </c>
      <c r="J5" s="377">
        <v>1966</v>
      </c>
      <c r="K5" s="378">
        <f>SUM(H5:J5)</f>
        <v>8415</v>
      </c>
    </row>
    <row r="6" spans="1:12" x14ac:dyDescent="0.2">
      <c r="A6" s="375" t="s">
        <v>50</v>
      </c>
      <c r="B6" s="376">
        <v>158897824</v>
      </c>
      <c r="C6" s="376">
        <v>2194199</v>
      </c>
      <c r="D6" s="376">
        <v>26863</v>
      </c>
      <c r="E6" s="376">
        <v>10146</v>
      </c>
      <c r="F6" s="376">
        <v>21660</v>
      </c>
      <c r="G6" s="12"/>
      <c r="H6" s="377">
        <v>967</v>
      </c>
      <c r="I6" s="377">
        <v>1883</v>
      </c>
      <c r="J6" s="377">
        <v>778</v>
      </c>
      <c r="K6" s="378">
        <f t="shared" ref="K6:K23" si="0">SUM(H6:J6)</f>
        <v>3628</v>
      </c>
    </row>
    <row r="7" spans="1:12" x14ac:dyDescent="0.2">
      <c r="A7" s="375" t="s">
        <v>51</v>
      </c>
      <c r="B7" s="379">
        <v>8.3000000000000004E-2</v>
      </c>
      <c r="C7" s="379">
        <v>8.1000000000000003E-2</v>
      </c>
      <c r="D7" s="379">
        <v>7.6999999999999999E-2</v>
      </c>
      <c r="E7" s="474">
        <v>0.11</v>
      </c>
      <c r="F7" s="379">
        <v>9.1999999999999998E-2</v>
      </c>
      <c r="G7" s="380">
        <f>B7+0.01</f>
        <v>9.2999999999999999E-2</v>
      </c>
      <c r="H7" s="381">
        <v>0.223</v>
      </c>
      <c r="I7" s="382">
        <v>6.3E-2</v>
      </c>
      <c r="J7" s="381">
        <v>0.192</v>
      </c>
      <c r="K7" s="383">
        <f>((H7*H6)+(I7*I6)+(J7*J6))/K6</f>
        <v>0.13330926130099227</v>
      </c>
    </row>
    <row r="8" spans="1:12" x14ac:dyDescent="0.2">
      <c r="A8" s="375"/>
      <c r="B8" s="384"/>
      <c r="C8" s="384"/>
      <c r="D8" s="384"/>
      <c r="E8" s="384"/>
      <c r="F8" s="384"/>
      <c r="G8" s="12"/>
      <c r="H8" s="385" t="s">
        <v>71</v>
      </c>
      <c r="I8" s="385" t="s">
        <v>71</v>
      </c>
      <c r="J8" s="385" t="s">
        <v>71</v>
      </c>
      <c r="K8" s="386"/>
    </row>
    <row r="9" spans="1:12" x14ac:dyDescent="0.2">
      <c r="A9" s="375" t="s">
        <v>52</v>
      </c>
      <c r="B9" s="384"/>
      <c r="C9" s="384"/>
      <c r="D9" s="384"/>
      <c r="E9" s="384"/>
      <c r="F9" s="384"/>
      <c r="G9" s="12"/>
      <c r="H9" s="385" t="s">
        <v>71</v>
      </c>
      <c r="I9" s="385" t="s">
        <v>71</v>
      </c>
      <c r="J9" s="385" t="s">
        <v>71</v>
      </c>
      <c r="K9" s="386"/>
    </row>
    <row r="10" spans="1:12" x14ac:dyDescent="0.2">
      <c r="A10" s="375" t="s">
        <v>53</v>
      </c>
      <c r="B10" s="376">
        <v>145747779</v>
      </c>
      <c r="C10" s="376">
        <v>2016049</v>
      </c>
      <c r="D10" s="376">
        <v>24804</v>
      </c>
      <c r="E10" s="376">
        <v>9035</v>
      </c>
      <c r="F10" s="376">
        <v>19661</v>
      </c>
      <c r="G10" s="12"/>
      <c r="H10" s="377">
        <v>751</v>
      </c>
      <c r="I10" s="377">
        <v>1764</v>
      </c>
      <c r="J10" s="377">
        <v>629</v>
      </c>
      <c r="K10" s="378">
        <f t="shared" si="0"/>
        <v>3144</v>
      </c>
    </row>
    <row r="11" spans="1:12" x14ac:dyDescent="0.2">
      <c r="A11" s="375" t="s">
        <v>54</v>
      </c>
      <c r="B11" s="376">
        <v>2852402</v>
      </c>
      <c r="C11" s="376">
        <v>94748</v>
      </c>
      <c r="D11" s="384">
        <v>240</v>
      </c>
      <c r="E11" s="384">
        <v>247</v>
      </c>
      <c r="F11" s="384">
        <v>317</v>
      </c>
      <c r="G11" s="12"/>
      <c r="H11" s="377">
        <v>4</v>
      </c>
      <c r="I11" s="377">
        <v>41</v>
      </c>
      <c r="J11" s="377">
        <v>0</v>
      </c>
      <c r="K11" s="378">
        <f t="shared" si="0"/>
        <v>45</v>
      </c>
      <c r="L11" s="228"/>
    </row>
    <row r="12" spans="1:12" x14ac:dyDescent="0.2">
      <c r="A12" s="375" t="s">
        <v>55</v>
      </c>
      <c r="B12" s="376">
        <v>9027391</v>
      </c>
      <c r="C12" s="376">
        <v>161968</v>
      </c>
      <c r="D12" s="376">
        <v>2431</v>
      </c>
      <c r="E12" s="384">
        <v>688</v>
      </c>
      <c r="F12" s="376">
        <v>1683</v>
      </c>
      <c r="G12" s="12"/>
      <c r="H12" s="377">
        <v>34</v>
      </c>
      <c r="I12" s="377">
        <v>175</v>
      </c>
      <c r="J12" s="377">
        <v>90</v>
      </c>
      <c r="K12" s="378">
        <f t="shared" si="0"/>
        <v>299</v>
      </c>
    </row>
    <row r="13" spans="1:12" x14ac:dyDescent="0.2">
      <c r="A13" s="375" t="s">
        <v>56</v>
      </c>
      <c r="B13" s="376">
        <v>15171260</v>
      </c>
      <c r="C13" s="376">
        <v>160133</v>
      </c>
      <c r="D13" s="376">
        <v>3044</v>
      </c>
      <c r="E13" s="376">
        <v>2025</v>
      </c>
      <c r="F13" s="376">
        <v>2701</v>
      </c>
      <c r="G13" s="12"/>
      <c r="H13" s="377">
        <v>180</v>
      </c>
      <c r="I13" s="377">
        <v>267</v>
      </c>
      <c r="J13" s="377">
        <v>101</v>
      </c>
      <c r="K13" s="378">
        <f t="shared" si="0"/>
        <v>548</v>
      </c>
    </row>
    <row r="14" spans="1:12" x14ac:dyDescent="0.2">
      <c r="A14" s="375" t="s">
        <v>57</v>
      </c>
      <c r="B14" s="376">
        <v>3968627</v>
      </c>
      <c r="C14" s="376">
        <v>52115</v>
      </c>
      <c r="D14" s="376">
        <v>1095</v>
      </c>
      <c r="E14" s="384">
        <v>188</v>
      </c>
      <c r="F14" s="384">
        <v>547</v>
      </c>
      <c r="G14" s="12"/>
      <c r="H14" s="377">
        <v>0</v>
      </c>
      <c r="I14" s="377">
        <v>88</v>
      </c>
      <c r="J14" s="377">
        <v>17</v>
      </c>
      <c r="K14" s="378">
        <f t="shared" si="0"/>
        <v>105</v>
      </c>
    </row>
    <row r="15" spans="1:12" x14ac:dyDescent="0.2">
      <c r="A15" s="375" t="s">
        <v>58</v>
      </c>
      <c r="B15" s="376">
        <v>16835942</v>
      </c>
      <c r="C15" s="376">
        <v>234286</v>
      </c>
      <c r="D15" s="376">
        <v>2760</v>
      </c>
      <c r="E15" s="384">
        <v>1040</v>
      </c>
      <c r="F15" s="376">
        <v>2373</v>
      </c>
      <c r="G15" s="12"/>
      <c r="H15" s="377">
        <v>67</v>
      </c>
      <c r="I15" s="377">
        <v>288</v>
      </c>
      <c r="J15" s="377">
        <v>14</v>
      </c>
      <c r="K15" s="378">
        <f t="shared" si="0"/>
        <v>369</v>
      </c>
    </row>
    <row r="16" spans="1:12" x14ac:dyDescent="0.2">
      <c r="A16" s="375" t="s">
        <v>59</v>
      </c>
      <c r="B16" s="376">
        <v>7226063</v>
      </c>
      <c r="C16" s="376">
        <v>104920</v>
      </c>
      <c r="D16" s="376">
        <v>1992</v>
      </c>
      <c r="E16" s="384">
        <v>612</v>
      </c>
      <c r="F16" s="376">
        <v>1259</v>
      </c>
      <c r="G16" s="12"/>
      <c r="H16" s="377">
        <v>26</v>
      </c>
      <c r="I16" s="377">
        <v>135</v>
      </c>
      <c r="J16" s="377">
        <v>33</v>
      </c>
      <c r="K16" s="378">
        <f t="shared" si="0"/>
        <v>194</v>
      </c>
    </row>
    <row r="17" spans="1:11" x14ac:dyDescent="0.2">
      <c r="A17" s="375" t="s">
        <v>60</v>
      </c>
      <c r="B17" s="376">
        <v>3094143</v>
      </c>
      <c r="C17" s="376">
        <v>32446</v>
      </c>
      <c r="D17" s="384">
        <v>295</v>
      </c>
      <c r="E17" s="384">
        <v>12</v>
      </c>
      <c r="F17" s="384">
        <v>359</v>
      </c>
      <c r="G17" s="12"/>
      <c r="H17" s="377">
        <v>19</v>
      </c>
      <c r="I17" s="377">
        <v>38</v>
      </c>
      <c r="J17" s="377">
        <v>24</v>
      </c>
      <c r="K17" s="378">
        <f t="shared" si="0"/>
        <v>81</v>
      </c>
    </row>
    <row r="18" spans="1:11" x14ac:dyDescent="0.2">
      <c r="A18" s="375" t="s">
        <v>61</v>
      </c>
      <c r="B18" s="376">
        <v>9578175</v>
      </c>
      <c r="C18" s="376">
        <v>103214</v>
      </c>
      <c r="D18" s="376">
        <v>1081</v>
      </c>
      <c r="E18" s="384">
        <v>322</v>
      </c>
      <c r="F18" s="384">
        <v>910</v>
      </c>
      <c r="G18" s="12"/>
      <c r="H18" s="377">
        <v>26</v>
      </c>
      <c r="I18" s="377">
        <v>54</v>
      </c>
      <c r="J18" s="377">
        <v>64</v>
      </c>
      <c r="K18" s="378">
        <f t="shared" si="0"/>
        <v>144</v>
      </c>
    </row>
    <row r="19" spans="1:11" ht="13.5" customHeight="1" x14ac:dyDescent="0.2">
      <c r="A19" s="375" t="s">
        <v>62</v>
      </c>
      <c r="B19" s="376">
        <v>16074502</v>
      </c>
      <c r="C19" s="376">
        <v>177910</v>
      </c>
      <c r="D19" s="376">
        <v>2086</v>
      </c>
      <c r="E19" s="384">
        <v>812</v>
      </c>
      <c r="F19" s="376">
        <v>1758</v>
      </c>
      <c r="G19" s="12"/>
      <c r="H19" s="377">
        <v>137</v>
      </c>
      <c r="I19" s="377">
        <v>108</v>
      </c>
      <c r="J19" s="377">
        <v>46</v>
      </c>
      <c r="K19" s="378">
        <f t="shared" si="0"/>
        <v>291</v>
      </c>
    </row>
    <row r="20" spans="1:11" x14ac:dyDescent="0.2">
      <c r="A20" s="375" t="s">
        <v>63</v>
      </c>
      <c r="B20" s="376">
        <v>33739126</v>
      </c>
      <c r="C20" s="376">
        <v>471011</v>
      </c>
      <c r="D20" s="376">
        <v>5256</v>
      </c>
      <c r="E20" s="376">
        <v>1667</v>
      </c>
      <c r="F20" s="376">
        <v>4353</v>
      </c>
      <c r="G20" s="12"/>
      <c r="H20" s="377">
        <v>146</v>
      </c>
      <c r="I20" s="377">
        <v>289</v>
      </c>
      <c r="J20" s="377">
        <v>143</v>
      </c>
      <c r="K20" s="378">
        <f t="shared" si="0"/>
        <v>578</v>
      </c>
    </row>
    <row r="21" spans="1:11" x14ac:dyDescent="0.2">
      <c r="A21" s="375" t="s">
        <v>64</v>
      </c>
      <c r="B21" s="376">
        <v>13984957</v>
      </c>
      <c r="C21" s="376">
        <v>208299</v>
      </c>
      <c r="D21" s="376">
        <v>2238</v>
      </c>
      <c r="E21" s="384">
        <v>634</v>
      </c>
      <c r="F21" s="376">
        <v>2015</v>
      </c>
      <c r="G21" s="12"/>
      <c r="H21" s="377">
        <v>12</v>
      </c>
      <c r="I21" s="377">
        <v>141</v>
      </c>
      <c r="J21" s="377">
        <v>43</v>
      </c>
      <c r="K21" s="378">
        <f t="shared" si="0"/>
        <v>196</v>
      </c>
    </row>
    <row r="22" spans="1:11" x14ac:dyDescent="0.2">
      <c r="A22" s="375" t="s">
        <v>65</v>
      </c>
      <c r="B22" s="376">
        <v>7198201</v>
      </c>
      <c r="C22" s="376">
        <v>103954</v>
      </c>
      <c r="D22" s="376">
        <v>1219</v>
      </c>
      <c r="E22" s="384">
        <v>363</v>
      </c>
      <c r="F22" s="384">
        <v>709</v>
      </c>
      <c r="G22" s="12"/>
      <c r="H22" s="377">
        <v>61</v>
      </c>
      <c r="I22" s="377">
        <v>100</v>
      </c>
      <c r="J22" s="377">
        <v>32</v>
      </c>
      <c r="K22" s="378">
        <f t="shared" si="0"/>
        <v>193</v>
      </c>
    </row>
    <row r="23" spans="1:11" x14ac:dyDescent="0.2">
      <c r="A23" s="375" t="s">
        <v>66</v>
      </c>
      <c r="B23" s="376">
        <v>6996990</v>
      </c>
      <c r="C23" s="376">
        <v>111045</v>
      </c>
      <c r="D23" s="376">
        <v>1067</v>
      </c>
      <c r="E23" s="384">
        <v>425</v>
      </c>
      <c r="F23" s="384">
        <v>677</v>
      </c>
      <c r="G23" s="12"/>
      <c r="H23" s="377">
        <v>39</v>
      </c>
      <c r="I23" s="377">
        <v>40</v>
      </c>
      <c r="J23" s="377">
        <v>22</v>
      </c>
      <c r="K23" s="378">
        <f t="shared" si="0"/>
        <v>101</v>
      </c>
    </row>
    <row r="24" spans="1:11" x14ac:dyDescent="0.2">
      <c r="A24" s="375"/>
      <c r="B24" s="384"/>
      <c r="C24" s="384"/>
      <c r="D24" s="384"/>
      <c r="E24" s="384"/>
      <c r="F24" s="384"/>
      <c r="G24" s="12"/>
      <c r="H24" s="377" t="s">
        <v>71</v>
      </c>
      <c r="I24" s="377" t="s">
        <v>71</v>
      </c>
      <c r="J24" s="377" t="s">
        <v>71</v>
      </c>
      <c r="K24" s="378"/>
    </row>
    <row r="25" spans="1:11" x14ac:dyDescent="0.2">
      <c r="A25" s="375" t="s">
        <v>245</v>
      </c>
      <c r="B25" s="384">
        <v>116926305</v>
      </c>
      <c r="C25" s="384">
        <v>1727919</v>
      </c>
      <c r="D25" s="384">
        <v>18383</v>
      </c>
      <c r="E25" s="384">
        <v>7964</v>
      </c>
      <c r="F25" s="384">
        <v>15332</v>
      </c>
      <c r="G25" s="12"/>
      <c r="H25" s="377">
        <v>896</v>
      </c>
      <c r="I25" s="377">
        <v>1601</v>
      </c>
      <c r="J25" s="377">
        <v>709</v>
      </c>
      <c r="K25" s="378">
        <f>SUM(H25:J25)</f>
        <v>3206</v>
      </c>
    </row>
    <row r="26" spans="1:11" x14ac:dyDescent="0.2">
      <c r="A26" s="375" t="s">
        <v>67</v>
      </c>
      <c r="B26" s="376">
        <v>53889</v>
      </c>
      <c r="C26" s="376">
        <v>45047</v>
      </c>
      <c r="D26" s="376">
        <v>59990</v>
      </c>
      <c r="E26" s="376">
        <v>51107</v>
      </c>
      <c r="F26" s="376">
        <v>50921</v>
      </c>
      <c r="G26" s="12"/>
      <c r="H26" s="377">
        <v>37120</v>
      </c>
      <c r="I26" s="377">
        <v>48008</v>
      </c>
      <c r="J26" s="377">
        <v>37450</v>
      </c>
      <c r="K26" s="378">
        <f>((H26*H25)+(I26*I25)+(J26*J25))/K25</f>
        <v>42630.186525265126</v>
      </c>
    </row>
    <row r="27" spans="1:11" x14ac:dyDescent="0.2">
      <c r="A27" s="375"/>
      <c r="B27" s="376"/>
      <c r="C27" s="376"/>
      <c r="D27" s="376"/>
      <c r="E27" s="376"/>
      <c r="F27" s="376"/>
      <c r="G27" s="12"/>
      <c r="H27" s="377"/>
      <c r="I27" s="377"/>
      <c r="J27" s="377"/>
      <c r="K27" s="378"/>
    </row>
    <row r="28" spans="1:11" x14ac:dyDescent="0.2">
      <c r="A28" s="375" t="s">
        <v>68</v>
      </c>
      <c r="B28" s="376">
        <v>28930</v>
      </c>
      <c r="C28" s="376">
        <v>24981</v>
      </c>
      <c r="D28" s="376">
        <v>27247</v>
      </c>
      <c r="E28" s="376">
        <v>24071</v>
      </c>
      <c r="F28" s="475">
        <v>22660</v>
      </c>
      <c r="G28" s="10">
        <f>B28*0.8</f>
        <v>23144</v>
      </c>
      <c r="H28" s="387">
        <v>19846</v>
      </c>
      <c r="I28" s="387">
        <v>22945</v>
      </c>
      <c r="J28" s="387">
        <v>16745</v>
      </c>
      <c r="K28" s="388">
        <f>((H28*H5)+(I28*I5)+(J28*J5))/K5</f>
        <v>20644.312418300655</v>
      </c>
    </row>
    <row r="29" spans="1:11" x14ac:dyDescent="0.2">
      <c r="A29" s="375"/>
      <c r="B29" s="384"/>
      <c r="C29" s="384"/>
      <c r="D29" s="384"/>
      <c r="E29" s="384"/>
      <c r="F29" s="384"/>
      <c r="G29" s="12"/>
      <c r="H29" s="385" t="s">
        <v>71</v>
      </c>
      <c r="I29" s="385" t="s">
        <v>71</v>
      </c>
      <c r="J29" s="385" t="s">
        <v>71</v>
      </c>
      <c r="K29" s="386"/>
    </row>
    <row r="30" spans="1:11" ht="13.5" thickBot="1" x14ac:dyDescent="0.25">
      <c r="A30" s="389" t="s">
        <v>70</v>
      </c>
      <c r="B30" s="390">
        <v>0.155</v>
      </c>
      <c r="C30" s="390">
        <v>0.19800000000000001</v>
      </c>
      <c r="D30" s="390">
        <v>0.11799999999999999</v>
      </c>
      <c r="E30" s="390">
        <v>0.18</v>
      </c>
      <c r="F30" s="390">
        <v>0.182</v>
      </c>
      <c r="G30" s="391">
        <v>0.2</v>
      </c>
      <c r="H30" s="392">
        <v>0.38400000000000001</v>
      </c>
      <c r="I30" s="393">
        <v>0.121</v>
      </c>
      <c r="J30" s="392">
        <v>0.39400000000000002</v>
      </c>
      <c r="K30" s="394">
        <f>((H30*H5)+(I30*I5)+(J30*J5))/K5</f>
        <v>0.25710219845513965</v>
      </c>
    </row>
    <row r="32" spans="1:11" ht="13.5" thickBot="1" x14ac:dyDescent="0.25"/>
    <row r="33" spans="1:11" ht="102" customHeight="1" x14ac:dyDescent="0.2">
      <c r="A33" s="395" t="s">
        <v>47</v>
      </c>
      <c r="B33" s="373" t="s">
        <v>48</v>
      </c>
      <c r="C33" s="373" t="s">
        <v>49</v>
      </c>
      <c r="D33" s="373" t="s">
        <v>82</v>
      </c>
      <c r="E33" s="373" t="s">
        <v>83</v>
      </c>
      <c r="F33" s="373" t="s">
        <v>84</v>
      </c>
      <c r="G33" s="396"/>
      <c r="H33" s="373" t="s">
        <v>85</v>
      </c>
      <c r="I33" s="373" t="s">
        <v>86</v>
      </c>
      <c r="J33" s="373" t="s">
        <v>87</v>
      </c>
      <c r="K33" s="397" t="s">
        <v>88</v>
      </c>
    </row>
    <row r="34" spans="1:11" x14ac:dyDescent="0.2">
      <c r="A34" s="398" t="s">
        <v>89</v>
      </c>
      <c r="B34" s="377">
        <v>316515021</v>
      </c>
      <c r="C34" s="377">
        <v>4625253</v>
      </c>
      <c r="D34" s="377">
        <v>52639</v>
      </c>
      <c r="E34" s="377">
        <v>21650</v>
      </c>
      <c r="F34" s="377">
        <v>44161</v>
      </c>
      <c r="G34" s="12"/>
      <c r="H34" s="377">
        <v>2314</v>
      </c>
      <c r="I34" s="377">
        <v>4135</v>
      </c>
      <c r="J34" s="377">
        <v>1966</v>
      </c>
      <c r="K34" s="378">
        <f>SUM(H34:J34)</f>
        <v>8415</v>
      </c>
    </row>
    <row r="35" spans="1:11" x14ac:dyDescent="0.2">
      <c r="A35" s="398" t="s">
        <v>90</v>
      </c>
      <c r="B35" s="377">
        <v>232943055</v>
      </c>
      <c r="C35" s="377">
        <v>2902538</v>
      </c>
      <c r="D35" s="377">
        <v>37152</v>
      </c>
      <c r="E35" s="377">
        <v>10537</v>
      </c>
      <c r="F35" s="377">
        <v>18573</v>
      </c>
      <c r="G35" s="12"/>
      <c r="H35" s="377">
        <v>942</v>
      </c>
      <c r="I35" s="377">
        <v>2634</v>
      </c>
      <c r="J35" s="377">
        <v>171</v>
      </c>
      <c r="K35" s="378">
        <f>SUM(H35:J35)</f>
        <v>3747</v>
      </c>
    </row>
    <row r="36" spans="1:11" x14ac:dyDescent="0.2">
      <c r="A36" s="399" t="s">
        <v>91</v>
      </c>
      <c r="B36" s="400">
        <f>B35/B34</f>
        <v>0.73596208566670207</v>
      </c>
      <c r="C36" s="400">
        <f t="shared" ref="C36:K36" si="1">C35/C34</f>
        <v>0.6275414555701061</v>
      </c>
      <c r="D36" s="400">
        <f t="shared" si="1"/>
        <v>0.7057884838237809</v>
      </c>
      <c r="E36" s="400">
        <f t="shared" si="1"/>
        <v>0.48669745958429561</v>
      </c>
      <c r="F36" s="400">
        <f t="shared" si="1"/>
        <v>0.42057471524648443</v>
      </c>
      <c r="G36" s="12"/>
      <c r="H36" s="400">
        <f t="shared" si="1"/>
        <v>0.40708729472774419</v>
      </c>
      <c r="I36" s="400">
        <f t="shared" si="1"/>
        <v>0.63700120918984282</v>
      </c>
      <c r="J36" s="400">
        <f t="shared" si="1"/>
        <v>8.6978636826042732E-2</v>
      </c>
      <c r="K36" s="401">
        <f t="shared" si="1"/>
        <v>0.44527629233511584</v>
      </c>
    </row>
    <row r="37" spans="1:11" x14ac:dyDescent="0.2">
      <c r="A37" s="398" t="s">
        <v>92</v>
      </c>
      <c r="B37" s="377">
        <f>B34-B35</f>
        <v>83571966</v>
      </c>
      <c r="C37" s="377">
        <f t="shared" ref="C37:J37" si="2">C34-C35</f>
        <v>1722715</v>
      </c>
      <c r="D37" s="377">
        <f t="shared" si="2"/>
        <v>15487</v>
      </c>
      <c r="E37" s="377">
        <f t="shared" si="2"/>
        <v>11113</v>
      </c>
      <c r="F37" s="377">
        <f t="shared" si="2"/>
        <v>25588</v>
      </c>
      <c r="G37" s="12"/>
      <c r="H37" s="377">
        <f t="shared" si="2"/>
        <v>1372</v>
      </c>
      <c r="I37" s="377">
        <f t="shared" si="2"/>
        <v>1501</v>
      </c>
      <c r="J37" s="377">
        <f t="shared" si="2"/>
        <v>1795</v>
      </c>
      <c r="K37" s="378">
        <f>SUM(H37:J37)</f>
        <v>4668</v>
      </c>
    </row>
    <row r="38" spans="1:11" x14ac:dyDescent="0.2">
      <c r="A38" s="399" t="s">
        <v>93</v>
      </c>
      <c r="B38" s="400">
        <f>B37/B34</f>
        <v>0.26403791433329793</v>
      </c>
      <c r="C38" s="400">
        <f t="shared" ref="C38:K38" si="3">C37/C34</f>
        <v>0.3724585444298939</v>
      </c>
      <c r="D38" s="400">
        <f t="shared" si="3"/>
        <v>0.29421151617621916</v>
      </c>
      <c r="E38" s="400">
        <f t="shared" si="3"/>
        <v>0.51330254041570433</v>
      </c>
      <c r="F38" s="400">
        <f t="shared" si="3"/>
        <v>0.57942528475351551</v>
      </c>
      <c r="G38" s="12"/>
      <c r="H38" s="400">
        <f t="shared" si="3"/>
        <v>0.59291270527225581</v>
      </c>
      <c r="I38" s="400">
        <f t="shared" si="3"/>
        <v>0.36299879081015718</v>
      </c>
      <c r="J38" s="400">
        <f t="shared" si="3"/>
        <v>0.91302136317395732</v>
      </c>
      <c r="K38" s="402">
        <f t="shared" si="3"/>
        <v>0.5547237076648841</v>
      </c>
    </row>
    <row r="39" spans="1:11" x14ac:dyDescent="0.2">
      <c r="A39" s="398" t="s">
        <v>94</v>
      </c>
      <c r="B39" s="377">
        <v>54232205</v>
      </c>
      <c r="C39" s="377">
        <v>218263</v>
      </c>
      <c r="D39" s="377">
        <v>2971</v>
      </c>
      <c r="E39" s="377">
        <v>333</v>
      </c>
      <c r="F39" s="377">
        <v>2333</v>
      </c>
      <c r="G39" s="12"/>
      <c r="H39" s="377">
        <v>0</v>
      </c>
      <c r="I39" s="377">
        <v>291</v>
      </c>
      <c r="J39" s="377">
        <v>0</v>
      </c>
      <c r="K39" s="378">
        <f>SUM(H39:J39)</f>
        <v>291</v>
      </c>
    </row>
    <row r="40" spans="1:11" ht="13.5" thickBot="1" x14ac:dyDescent="0.25">
      <c r="A40" s="403" t="s">
        <v>95</v>
      </c>
      <c r="B40" s="404">
        <f>B39/B34</f>
        <v>0.17134164700511956</v>
      </c>
      <c r="C40" s="404">
        <f t="shared" ref="C40:K40" si="4">C39/C34</f>
        <v>4.7189418611262995E-2</v>
      </c>
      <c r="D40" s="404">
        <f t="shared" si="4"/>
        <v>5.6441041813104352E-2</v>
      </c>
      <c r="E40" s="404">
        <f t="shared" si="4"/>
        <v>1.5381062355658198E-2</v>
      </c>
      <c r="F40" s="404">
        <f t="shared" si="4"/>
        <v>5.2829419623649829E-2</v>
      </c>
      <c r="G40" s="405"/>
      <c r="H40" s="404">
        <f t="shared" si="4"/>
        <v>0</v>
      </c>
      <c r="I40" s="404">
        <f t="shared" si="4"/>
        <v>7.0374848851269656E-2</v>
      </c>
      <c r="J40" s="404">
        <f t="shared" si="4"/>
        <v>0</v>
      </c>
      <c r="K40" s="406">
        <f t="shared" si="4"/>
        <v>3.4581105169340466E-2</v>
      </c>
    </row>
    <row r="42" spans="1:11" ht="13.5" thickBot="1" x14ac:dyDescent="0.25"/>
    <row r="43" spans="1:11" ht="25.5" x14ac:dyDescent="0.2">
      <c r="A43" s="466" t="s">
        <v>47</v>
      </c>
      <c r="B43" s="454" t="str">
        <f t="shared" ref="B43:E46" si="5">H4</f>
        <v>Census Tract 706</v>
      </c>
      <c r="C43" s="454" t="str">
        <f t="shared" si="5"/>
        <v>Census Tract 707</v>
      </c>
      <c r="D43" s="454" t="str">
        <f t="shared" si="5"/>
        <v>Census Tract 708</v>
      </c>
      <c r="E43" s="454" t="str">
        <f t="shared" si="5"/>
        <v>Total Immediate Project Area</v>
      </c>
      <c r="F43" s="454" t="str">
        <f>F4</f>
        <v>St. John the Baptist Parish</v>
      </c>
      <c r="G43" s="454" t="str">
        <f t="shared" ref="G43:H46" si="6">D4</f>
        <v>St. Charles Parish</v>
      </c>
      <c r="H43" s="455" t="str">
        <f t="shared" si="6"/>
        <v>St. James Parish</v>
      </c>
      <c r="I43" s="455" t="str">
        <f>C4</f>
        <v>Louisiana</v>
      </c>
      <c r="J43" s="456" t="str">
        <f>B4</f>
        <v>United States</v>
      </c>
      <c r="K43" s="461"/>
    </row>
    <row r="44" spans="1:11" ht="15" customHeight="1" x14ac:dyDescent="0.2">
      <c r="A44" s="375" t="s">
        <v>69</v>
      </c>
      <c r="B44" s="376">
        <f t="shared" si="5"/>
        <v>2314</v>
      </c>
      <c r="C44" s="376">
        <f t="shared" si="5"/>
        <v>4135</v>
      </c>
      <c r="D44" s="376">
        <f t="shared" si="5"/>
        <v>1966</v>
      </c>
      <c r="E44" s="376">
        <f t="shared" si="5"/>
        <v>8415</v>
      </c>
      <c r="F44" s="376">
        <f>F5</f>
        <v>44161</v>
      </c>
      <c r="G44" s="12">
        <f t="shared" si="6"/>
        <v>52639</v>
      </c>
      <c r="H44" s="377">
        <f t="shared" si="6"/>
        <v>21650</v>
      </c>
      <c r="I44" s="377">
        <f>C5</f>
        <v>4625253</v>
      </c>
      <c r="J44" s="378">
        <f>B5</f>
        <v>316515021</v>
      </c>
      <c r="K44" s="459"/>
    </row>
    <row r="45" spans="1:11" ht="15" customHeight="1" x14ac:dyDescent="0.2">
      <c r="A45" s="375" t="s">
        <v>50</v>
      </c>
      <c r="B45" s="376">
        <f t="shared" si="5"/>
        <v>967</v>
      </c>
      <c r="C45" s="376">
        <f t="shared" si="5"/>
        <v>1883</v>
      </c>
      <c r="D45" s="376">
        <f t="shared" si="5"/>
        <v>778</v>
      </c>
      <c r="E45" s="376">
        <f t="shared" si="5"/>
        <v>3628</v>
      </c>
      <c r="F45" s="376">
        <f>F6</f>
        <v>21660</v>
      </c>
      <c r="G45" s="12">
        <f t="shared" si="6"/>
        <v>26863</v>
      </c>
      <c r="H45" s="377">
        <f t="shared" si="6"/>
        <v>10146</v>
      </c>
      <c r="I45" s="377">
        <f>C6</f>
        <v>2194199</v>
      </c>
      <c r="J45" s="378">
        <f>B6</f>
        <v>158897824</v>
      </c>
      <c r="K45" s="459"/>
    </row>
    <row r="46" spans="1:11" ht="15" customHeight="1" x14ac:dyDescent="0.2">
      <c r="A46" s="375" t="s">
        <v>51</v>
      </c>
      <c r="B46" s="379">
        <f t="shared" si="5"/>
        <v>0.223</v>
      </c>
      <c r="C46" s="379">
        <f t="shared" si="5"/>
        <v>6.3E-2</v>
      </c>
      <c r="D46" s="379">
        <f t="shared" si="5"/>
        <v>0.192</v>
      </c>
      <c r="E46" s="379">
        <f t="shared" si="5"/>
        <v>0.13330926130099227</v>
      </c>
      <c r="F46" s="379">
        <f>F7</f>
        <v>9.1999999999999998E-2</v>
      </c>
      <c r="G46" s="380">
        <f t="shared" si="6"/>
        <v>7.6999999999999999E-2</v>
      </c>
      <c r="H46" s="382">
        <f t="shared" si="6"/>
        <v>0.11</v>
      </c>
      <c r="I46" s="382">
        <f>C7</f>
        <v>8.1000000000000003E-2</v>
      </c>
      <c r="J46" s="457">
        <f>B7</f>
        <v>8.3000000000000004E-2</v>
      </c>
      <c r="K46" s="462"/>
    </row>
    <row r="47" spans="1:11" ht="15" customHeight="1" x14ac:dyDescent="0.2">
      <c r="A47" s="375" t="s">
        <v>52</v>
      </c>
      <c r="B47" s="384" t="str">
        <f t="shared" ref="B47:B61" si="7">H9</f>
        <v/>
      </c>
      <c r="C47" s="384" t="str">
        <f t="shared" ref="C47:C61" si="8">I9</f>
        <v/>
      </c>
      <c r="D47" s="384" t="str">
        <f t="shared" ref="D47:D61" si="9">J9</f>
        <v/>
      </c>
      <c r="E47" s="384">
        <f t="shared" ref="E47:E61" si="10">K9</f>
        <v>0</v>
      </c>
      <c r="F47" s="384">
        <f t="shared" ref="F47:F61" si="11">F9</f>
        <v>0</v>
      </c>
      <c r="G47" s="12">
        <f t="shared" ref="G47:G61" si="12">D9</f>
        <v>0</v>
      </c>
      <c r="H47" s="385">
        <f t="shared" ref="H47:H61" si="13">E9</f>
        <v>0</v>
      </c>
      <c r="I47" s="385">
        <f t="shared" ref="I47:I61" si="14">C9</f>
        <v>0</v>
      </c>
      <c r="J47" s="386">
        <f t="shared" ref="J47:J61" si="15">B9</f>
        <v>0</v>
      </c>
      <c r="K47" s="463"/>
    </row>
    <row r="48" spans="1:11" ht="15" customHeight="1" x14ac:dyDescent="0.2">
      <c r="A48" s="375" t="s">
        <v>53</v>
      </c>
      <c r="B48" s="376">
        <f t="shared" si="7"/>
        <v>751</v>
      </c>
      <c r="C48" s="376">
        <f t="shared" si="8"/>
        <v>1764</v>
      </c>
      <c r="D48" s="376">
        <f t="shared" si="9"/>
        <v>629</v>
      </c>
      <c r="E48" s="376">
        <f t="shared" si="10"/>
        <v>3144</v>
      </c>
      <c r="F48" s="376">
        <f t="shared" si="11"/>
        <v>19661</v>
      </c>
      <c r="G48" s="12">
        <f t="shared" si="12"/>
        <v>24804</v>
      </c>
      <c r="H48" s="377">
        <f t="shared" si="13"/>
        <v>9035</v>
      </c>
      <c r="I48" s="377">
        <f t="shared" si="14"/>
        <v>2016049</v>
      </c>
      <c r="J48" s="378">
        <f t="shared" si="15"/>
        <v>145747779</v>
      </c>
      <c r="K48" s="459"/>
    </row>
    <row r="49" spans="1:11" ht="15" customHeight="1" x14ac:dyDescent="0.2">
      <c r="A49" s="375" t="s">
        <v>54</v>
      </c>
      <c r="B49" s="376">
        <f t="shared" si="7"/>
        <v>4</v>
      </c>
      <c r="C49" s="376">
        <f t="shared" si="8"/>
        <v>41</v>
      </c>
      <c r="D49" s="384">
        <f t="shared" si="9"/>
        <v>0</v>
      </c>
      <c r="E49" s="384">
        <f t="shared" si="10"/>
        <v>45</v>
      </c>
      <c r="F49" s="384">
        <f t="shared" si="11"/>
        <v>317</v>
      </c>
      <c r="G49" s="12">
        <f t="shared" si="12"/>
        <v>240</v>
      </c>
      <c r="H49" s="377">
        <f t="shared" si="13"/>
        <v>247</v>
      </c>
      <c r="I49" s="377">
        <f t="shared" si="14"/>
        <v>94748</v>
      </c>
      <c r="J49" s="378">
        <f t="shared" si="15"/>
        <v>2852402</v>
      </c>
      <c r="K49" s="459"/>
    </row>
    <row r="50" spans="1:11" ht="15" customHeight="1" x14ac:dyDescent="0.2">
      <c r="A50" s="375" t="s">
        <v>55</v>
      </c>
      <c r="B50" s="376">
        <f t="shared" si="7"/>
        <v>34</v>
      </c>
      <c r="C50" s="376">
        <f t="shared" si="8"/>
        <v>175</v>
      </c>
      <c r="D50" s="376">
        <f t="shared" si="9"/>
        <v>90</v>
      </c>
      <c r="E50" s="384">
        <f t="shared" si="10"/>
        <v>299</v>
      </c>
      <c r="F50" s="376">
        <f t="shared" si="11"/>
        <v>1683</v>
      </c>
      <c r="G50" s="12">
        <f t="shared" si="12"/>
        <v>2431</v>
      </c>
      <c r="H50" s="377">
        <f t="shared" si="13"/>
        <v>688</v>
      </c>
      <c r="I50" s="377">
        <f t="shared" si="14"/>
        <v>161968</v>
      </c>
      <c r="J50" s="378">
        <f t="shared" si="15"/>
        <v>9027391</v>
      </c>
      <c r="K50" s="459"/>
    </row>
    <row r="51" spans="1:11" ht="15" customHeight="1" x14ac:dyDescent="0.2">
      <c r="A51" s="375" t="s">
        <v>56</v>
      </c>
      <c r="B51" s="376">
        <f t="shared" si="7"/>
        <v>180</v>
      </c>
      <c r="C51" s="376">
        <f t="shared" si="8"/>
        <v>267</v>
      </c>
      <c r="D51" s="376">
        <f t="shared" si="9"/>
        <v>101</v>
      </c>
      <c r="E51" s="376">
        <f t="shared" si="10"/>
        <v>548</v>
      </c>
      <c r="F51" s="376">
        <f t="shared" si="11"/>
        <v>2701</v>
      </c>
      <c r="G51" s="12">
        <f t="shared" si="12"/>
        <v>3044</v>
      </c>
      <c r="H51" s="377">
        <f t="shared" si="13"/>
        <v>2025</v>
      </c>
      <c r="I51" s="377">
        <f t="shared" si="14"/>
        <v>160133</v>
      </c>
      <c r="J51" s="378">
        <f t="shared" si="15"/>
        <v>15171260</v>
      </c>
      <c r="K51" s="459"/>
    </row>
    <row r="52" spans="1:11" ht="15" customHeight="1" x14ac:dyDescent="0.2">
      <c r="A52" s="375" t="s">
        <v>57</v>
      </c>
      <c r="B52" s="376">
        <f t="shared" si="7"/>
        <v>0</v>
      </c>
      <c r="C52" s="376">
        <f t="shared" si="8"/>
        <v>88</v>
      </c>
      <c r="D52" s="376">
        <f t="shared" si="9"/>
        <v>17</v>
      </c>
      <c r="E52" s="384">
        <f t="shared" si="10"/>
        <v>105</v>
      </c>
      <c r="F52" s="384">
        <f t="shared" si="11"/>
        <v>547</v>
      </c>
      <c r="G52" s="12">
        <f t="shared" si="12"/>
        <v>1095</v>
      </c>
      <c r="H52" s="377">
        <f t="shared" si="13"/>
        <v>188</v>
      </c>
      <c r="I52" s="377">
        <f t="shared" si="14"/>
        <v>52115</v>
      </c>
      <c r="J52" s="378">
        <f t="shared" si="15"/>
        <v>3968627</v>
      </c>
      <c r="K52" s="459"/>
    </row>
    <row r="53" spans="1:11" ht="15" customHeight="1" x14ac:dyDescent="0.2">
      <c r="A53" s="375" t="s">
        <v>58</v>
      </c>
      <c r="B53" s="376">
        <f t="shared" si="7"/>
        <v>67</v>
      </c>
      <c r="C53" s="376">
        <f t="shared" si="8"/>
        <v>288</v>
      </c>
      <c r="D53" s="376">
        <f t="shared" si="9"/>
        <v>14</v>
      </c>
      <c r="E53" s="384">
        <f t="shared" si="10"/>
        <v>369</v>
      </c>
      <c r="F53" s="376">
        <f t="shared" si="11"/>
        <v>2373</v>
      </c>
      <c r="G53" s="12">
        <f t="shared" si="12"/>
        <v>2760</v>
      </c>
      <c r="H53" s="377">
        <f t="shared" si="13"/>
        <v>1040</v>
      </c>
      <c r="I53" s="377">
        <f t="shared" si="14"/>
        <v>234286</v>
      </c>
      <c r="J53" s="378">
        <f t="shared" si="15"/>
        <v>16835942</v>
      </c>
      <c r="K53" s="459"/>
    </row>
    <row r="54" spans="1:11" ht="15" customHeight="1" x14ac:dyDescent="0.2">
      <c r="A54" s="375" t="s">
        <v>59</v>
      </c>
      <c r="B54" s="376">
        <f t="shared" si="7"/>
        <v>26</v>
      </c>
      <c r="C54" s="376">
        <f t="shared" si="8"/>
        <v>135</v>
      </c>
      <c r="D54" s="376">
        <f t="shared" si="9"/>
        <v>33</v>
      </c>
      <c r="E54" s="384">
        <f t="shared" si="10"/>
        <v>194</v>
      </c>
      <c r="F54" s="376">
        <f t="shared" si="11"/>
        <v>1259</v>
      </c>
      <c r="G54" s="12">
        <f t="shared" si="12"/>
        <v>1992</v>
      </c>
      <c r="H54" s="377">
        <f t="shared" si="13"/>
        <v>612</v>
      </c>
      <c r="I54" s="377">
        <f t="shared" si="14"/>
        <v>104920</v>
      </c>
      <c r="J54" s="378">
        <f t="shared" si="15"/>
        <v>7226063</v>
      </c>
      <c r="K54" s="459"/>
    </row>
    <row r="55" spans="1:11" ht="15" customHeight="1" x14ac:dyDescent="0.2">
      <c r="A55" s="375" t="s">
        <v>60</v>
      </c>
      <c r="B55" s="376">
        <f t="shared" si="7"/>
        <v>19</v>
      </c>
      <c r="C55" s="376">
        <f t="shared" si="8"/>
        <v>38</v>
      </c>
      <c r="D55" s="384">
        <f t="shared" si="9"/>
        <v>24</v>
      </c>
      <c r="E55" s="384">
        <f t="shared" si="10"/>
        <v>81</v>
      </c>
      <c r="F55" s="384">
        <f t="shared" si="11"/>
        <v>359</v>
      </c>
      <c r="G55" s="12">
        <f t="shared" si="12"/>
        <v>295</v>
      </c>
      <c r="H55" s="377">
        <f t="shared" si="13"/>
        <v>12</v>
      </c>
      <c r="I55" s="377">
        <f t="shared" si="14"/>
        <v>32446</v>
      </c>
      <c r="J55" s="378">
        <f t="shared" si="15"/>
        <v>3094143</v>
      </c>
      <c r="K55" s="459"/>
    </row>
    <row r="56" spans="1:11" ht="15" customHeight="1" x14ac:dyDescent="0.2">
      <c r="A56" s="375" t="s">
        <v>61</v>
      </c>
      <c r="B56" s="376">
        <f t="shared" si="7"/>
        <v>26</v>
      </c>
      <c r="C56" s="376">
        <f t="shared" si="8"/>
        <v>54</v>
      </c>
      <c r="D56" s="376">
        <f t="shared" si="9"/>
        <v>64</v>
      </c>
      <c r="E56" s="384">
        <f t="shared" si="10"/>
        <v>144</v>
      </c>
      <c r="F56" s="384">
        <f t="shared" si="11"/>
        <v>910</v>
      </c>
      <c r="G56" s="12">
        <f t="shared" si="12"/>
        <v>1081</v>
      </c>
      <c r="H56" s="377">
        <f t="shared" si="13"/>
        <v>322</v>
      </c>
      <c r="I56" s="377">
        <f t="shared" si="14"/>
        <v>103214</v>
      </c>
      <c r="J56" s="378">
        <f t="shared" si="15"/>
        <v>9578175</v>
      </c>
      <c r="K56" s="459"/>
    </row>
    <row r="57" spans="1:11" ht="15" customHeight="1" x14ac:dyDescent="0.2">
      <c r="A57" s="375" t="s">
        <v>62</v>
      </c>
      <c r="B57" s="376">
        <f t="shared" si="7"/>
        <v>137</v>
      </c>
      <c r="C57" s="376">
        <f t="shared" si="8"/>
        <v>108</v>
      </c>
      <c r="D57" s="376">
        <f t="shared" si="9"/>
        <v>46</v>
      </c>
      <c r="E57" s="384">
        <f t="shared" si="10"/>
        <v>291</v>
      </c>
      <c r="F57" s="376">
        <f t="shared" si="11"/>
        <v>1758</v>
      </c>
      <c r="G57" s="12">
        <f t="shared" si="12"/>
        <v>2086</v>
      </c>
      <c r="H57" s="377">
        <f t="shared" si="13"/>
        <v>812</v>
      </c>
      <c r="I57" s="377">
        <f t="shared" si="14"/>
        <v>177910</v>
      </c>
      <c r="J57" s="378">
        <f t="shared" si="15"/>
        <v>16074502</v>
      </c>
      <c r="K57" s="459"/>
    </row>
    <row r="58" spans="1:11" ht="15" customHeight="1" x14ac:dyDescent="0.2">
      <c r="A58" s="375" t="s">
        <v>63</v>
      </c>
      <c r="B58" s="376">
        <f t="shared" si="7"/>
        <v>146</v>
      </c>
      <c r="C58" s="376">
        <f t="shared" si="8"/>
        <v>289</v>
      </c>
      <c r="D58" s="376">
        <f t="shared" si="9"/>
        <v>143</v>
      </c>
      <c r="E58" s="376">
        <f t="shared" si="10"/>
        <v>578</v>
      </c>
      <c r="F58" s="376">
        <f t="shared" si="11"/>
        <v>4353</v>
      </c>
      <c r="G58" s="12">
        <f t="shared" si="12"/>
        <v>5256</v>
      </c>
      <c r="H58" s="377">
        <f t="shared" si="13"/>
        <v>1667</v>
      </c>
      <c r="I58" s="377">
        <f t="shared" si="14"/>
        <v>471011</v>
      </c>
      <c r="J58" s="378">
        <f t="shared" si="15"/>
        <v>33739126</v>
      </c>
      <c r="K58" s="459"/>
    </row>
    <row r="59" spans="1:11" ht="15" customHeight="1" x14ac:dyDescent="0.2">
      <c r="A59" s="375" t="s">
        <v>64</v>
      </c>
      <c r="B59" s="376">
        <f t="shared" si="7"/>
        <v>12</v>
      </c>
      <c r="C59" s="376">
        <f t="shared" si="8"/>
        <v>141</v>
      </c>
      <c r="D59" s="376">
        <f t="shared" si="9"/>
        <v>43</v>
      </c>
      <c r="E59" s="384">
        <f t="shared" si="10"/>
        <v>196</v>
      </c>
      <c r="F59" s="376">
        <f t="shared" si="11"/>
        <v>2015</v>
      </c>
      <c r="G59" s="12">
        <f t="shared" si="12"/>
        <v>2238</v>
      </c>
      <c r="H59" s="377">
        <f t="shared" si="13"/>
        <v>634</v>
      </c>
      <c r="I59" s="377">
        <f t="shared" si="14"/>
        <v>208299</v>
      </c>
      <c r="J59" s="378">
        <f t="shared" si="15"/>
        <v>13984957</v>
      </c>
      <c r="K59" s="459"/>
    </row>
    <row r="60" spans="1:11" ht="15" customHeight="1" x14ac:dyDescent="0.2">
      <c r="A60" s="375" t="s">
        <v>65</v>
      </c>
      <c r="B60" s="376">
        <f t="shared" si="7"/>
        <v>61</v>
      </c>
      <c r="C60" s="376">
        <f t="shared" si="8"/>
        <v>100</v>
      </c>
      <c r="D60" s="376">
        <f t="shared" si="9"/>
        <v>32</v>
      </c>
      <c r="E60" s="384">
        <f t="shared" si="10"/>
        <v>193</v>
      </c>
      <c r="F60" s="384">
        <f t="shared" si="11"/>
        <v>709</v>
      </c>
      <c r="G60" s="12">
        <f t="shared" si="12"/>
        <v>1219</v>
      </c>
      <c r="H60" s="377">
        <f t="shared" si="13"/>
        <v>363</v>
      </c>
      <c r="I60" s="377">
        <f t="shared" si="14"/>
        <v>103954</v>
      </c>
      <c r="J60" s="378">
        <f t="shared" si="15"/>
        <v>7198201</v>
      </c>
      <c r="K60" s="459"/>
    </row>
    <row r="61" spans="1:11" ht="15" customHeight="1" x14ac:dyDescent="0.2">
      <c r="A61" s="375" t="s">
        <v>66</v>
      </c>
      <c r="B61" s="376">
        <f t="shared" si="7"/>
        <v>39</v>
      </c>
      <c r="C61" s="376">
        <f t="shared" si="8"/>
        <v>40</v>
      </c>
      <c r="D61" s="376">
        <f t="shared" si="9"/>
        <v>22</v>
      </c>
      <c r="E61" s="384">
        <f t="shared" si="10"/>
        <v>101</v>
      </c>
      <c r="F61" s="384">
        <f t="shared" si="11"/>
        <v>677</v>
      </c>
      <c r="G61" s="12">
        <f t="shared" si="12"/>
        <v>1067</v>
      </c>
      <c r="H61" s="377">
        <f t="shared" si="13"/>
        <v>425</v>
      </c>
      <c r="I61" s="377">
        <f t="shared" si="14"/>
        <v>111045</v>
      </c>
      <c r="J61" s="378">
        <f t="shared" si="15"/>
        <v>6996990</v>
      </c>
      <c r="K61" s="459"/>
    </row>
    <row r="62" spans="1:11" ht="15" customHeight="1" x14ac:dyDescent="0.2">
      <c r="A62" s="375" t="s">
        <v>245</v>
      </c>
      <c r="B62" s="384">
        <f t="shared" ref="B62:E63" si="16">H25</f>
        <v>896</v>
      </c>
      <c r="C62" s="384">
        <f t="shared" si="16"/>
        <v>1601</v>
      </c>
      <c r="D62" s="384">
        <f t="shared" si="16"/>
        <v>709</v>
      </c>
      <c r="E62" s="384">
        <f t="shared" si="16"/>
        <v>3206</v>
      </c>
      <c r="F62" s="384">
        <f>F25</f>
        <v>15332</v>
      </c>
      <c r="G62" s="12">
        <f>D25</f>
        <v>18383</v>
      </c>
      <c r="H62" s="377">
        <f>E25</f>
        <v>7964</v>
      </c>
      <c r="I62" s="377">
        <f>C25</f>
        <v>1727919</v>
      </c>
      <c r="J62" s="378">
        <f>B25</f>
        <v>116926305</v>
      </c>
      <c r="K62" s="459"/>
    </row>
    <row r="63" spans="1:11" ht="15" customHeight="1" x14ac:dyDescent="0.2">
      <c r="A63" s="375" t="s">
        <v>67</v>
      </c>
      <c r="B63" s="376">
        <f t="shared" si="16"/>
        <v>37120</v>
      </c>
      <c r="C63" s="376">
        <f t="shared" si="16"/>
        <v>48008</v>
      </c>
      <c r="D63" s="376">
        <f t="shared" si="16"/>
        <v>37450</v>
      </c>
      <c r="E63" s="376">
        <f t="shared" si="16"/>
        <v>42630.186525265126</v>
      </c>
      <c r="F63" s="376">
        <f>F26</f>
        <v>50921</v>
      </c>
      <c r="G63" s="12">
        <f>D26</f>
        <v>59990</v>
      </c>
      <c r="H63" s="377">
        <f>E26</f>
        <v>51107</v>
      </c>
      <c r="I63" s="377">
        <f>C26</f>
        <v>45047</v>
      </c>
      <c r="J63" s="378">
        <f>B26</f>
        <v>53889</v>
      </c>
      <c r="K63" s="459"/>
    </row>
    <row r="64" spans="1:11" ht="15" customHeight="1" x14ac:dyDescent="0.2">
      <c r="A64" s="375" t="s">
        <v>321</v>
      </c>
      <c r="B64" s="376">
        <f>H28</f>
        <v>19846</v>
      </c>
      <c r="C64" s="376">
        <f>I28</f>
        <v>22945</v>
      </c>
      <c r="D64" s="376">
        <f>J28</f>
        <v>16745</v>
      </c>
      <c r="E64" s="376">
        <f>K28</f>
        <v>20644.312418300655</v>
      </c>
      <c r="F64" s="376">
        <f>F28</f>
        <v>22660</v>
      </c>
      <c r="G64" s="10">
        <f>D28</f>
        <v>27247</v>
      </c>
      <c r="H64" s="377">
        <f>E28</f>
        <v>24071</v>
      </c>
      <c r="I64" s="377">
        <f>C28</f>
        <v>24981</v>
      </c>
      <c r="J64" s="378">
        <f>B28</f>
        <v>28930</v>
      </c>
      <c r="K64" s="459"/>
    </row>
    <row r="65" spans="1:11" ht="15" customHeight="1" thickBot="1" x14ac:dyDescent="0.25">
      <c r="A65" s="389" t="s">
        <v>70</v>
      </c>
      <c r="B65" s="390">
        <f>H30</f>
        <v>0.38400000000000001</v>
      </c>
      <c r="C65" s="390">
        <f>I30</f>
        <v>0.121</v>
      </c>
      <c r="D65" s="390">
        <f>J30</f>
        <v>0.39400000000000002</v>
      </c>
      <c r="E65" s="390">
        <f>K30</f>
        <v>0.25710219845513965</v>
      </c>
      <c r="F65" s="390">
        <f>F30</f>
        <v>0.182</v>
      </c>
      <c r="G65" s="391">
        <f>D30</f>
        <v>0.11799999999999999</v>
      </c>
      <c r="H65" s="393">
        <f>E30</f>
        <v>0.18</v>
      </c>
      <c r="I65" s="393">
        <f>C30</f>
        <v>0.19800000000000001</v>
      </c>
      <c r="J65" s="458">
        <f>B30</f>
        <v>0.155</v>
      </c>
      <c r="K65" s="462"/>
    </row>
    <row r="66" spans="1:11" x14ac:dyDescent="0.2">
      <c r="K66" s="2"/>
    </row>
    <row r="67" spans="1:11" ht="13.5" thickBot="1" x14ac:dyDescent="0.25">
      <c r="K67" s="2"/>
    </row>
    <row r="68" spans="1:11" s="84" customFormat="1" ht="29.25" customHeight="1" x14ac:dyDescent="0.2">
      <c r="A68" s="467" t="s">
        <v>47</v>
      </c>
      <c r="B68" s="454" t="str">
        <f t="shared" ref="B68:J68" si="17">B43</f>
        <v>Census Tract 706</v>
      </c>
      <c r="C68" s="454" t="str">
        <f t="shared" si="17"/>
        <v>Census Tract 707</v>
      </c>
      <c r="D68" s="454" t="str">
        <f t="shared" si="17"/>
        <v>Census Tract 708</v>
      </c>
      <c r="E68" s="454" t="str">
        <f t="shared" si="17"/>
        <v>Total Immediate Project Area</v>
      </c>
      <c r="F68" s="454" t="str">
        <f t="shared" si="17"/>
        <v>St. John the Baptist Parish</v>
      </c>
      <c r="G68" s="454" t="str">
        <f t="shared" si="17"/>
        <v>St. Charles Parish</v>
      </c>
      <c r="H68" s="455" t="str">
        <f t="shared" si="17"/>
        <v>St. James Parish</v>
      </c>
      <c r="I68" s="455" t="str">
        <f t="shared" si="17"/>
        <v>Louisiana</v>
      </c>
      <c r="J68" s="456" t="str">
        <f t="shared" si="17"/>
        <v>United States</v>
      </c>
      <c r="K68" s="461"/>
    </row>
    <row r="69" spans="1:11" x14ac:dyDescent="0.2">
      <c r="A69" s="398" t="s">
        <v>89</v>
      </c>
      <c r="B69" s="376">
        <f t="shared" ref="B69:E75" si="18">H34</f>
        <v>2314</v>
      </c>
      <c r="C69" s="376">
        <f t="shared" si="18"/>
        <v>4135</v>
      </c>
      <c r="D69" s="376">
        <f t="shared" si="18"/>
        <v>1966</v>
      </c>
      <c r="E69" s="376">
        <f t="shared" si="18"/>
        <v>8415</v>
      </c>
      <c r="F69" s="376">
        <f t="shared" ref="F69:F75" si="19">F34</f>
        <v>44161</v>
      </c>
      <c r="G69" s="376">
        <f t="shared" ref="G69:H75" si="20">D34</f>
        <v>52639</v>
      </c>
      <c r="H69" s="377">
        <f t="shared" si="20"/>
        <v>21650</v>
      </c>
      <c r="I69" s="377">
        <f t="shared" ref="I69:I75" si="21">C34</f>
        <v>4625253</v>
      </c>
      <c r="J69" s="378">
        <f t="shared" ref="J69:J75" si="22">B34</f>
        <v>316515021</v>
      </c>
      <c r="K69" s="459"/>
    </row>
    <row r="70" spans="1:11" x14ac:dyDescent="0.2">
      <c r="A70" s="398" t="s">
        <v>90</v>
      </c>
      <c r="B70" s="376">
        <f t="shared" si="18"/>
        <v>942</v>
      </c>
      <c r="C70" s="376">
        <f t="shared" si="18"/>
        <v>2634</v>
      </c>
      <c r="D70" s="376">
        <f t="shared" si="18"/>
        <v>171</v>
      </c>
      <c r="E70" s="376">
        <f t="shared" si="18"/>
        <v>3747</v>
      </c>
      <c r="F70" s="376">
        <f t="shared" si="19"/>
        <v>18573</v>
      </c>
      <c r="G70" s="376">
        <f t="shared" si="20"/>
        <v>37152</v>
      </c>
      <c r="H70" s="377">
        <f t="shared" si="20"/>
        <v>10537</v>
      </c>
      <c r="I70" s="377">
        <f t="shared" si="21"/>
        <v>2902538</v>
      </c>
      <c r="J70" s="378">
        <f t="shared" si="22"/>
        <v>232943055</v>
      </c>
      <c r="K70" s="459"/>
    </row>
    <row r="71" spans="1:11" x14ac:dyDescent="0.2">
      <c r="A71" s="399" t="s">
        <v>91</v>
      </c>
      <c r="B71" s="464">
        <f t="shared" si="18"/>
        <v>0.40708729472774419</v>
      </c>
      <c r="C71" s="464">
        <f t="shared" si="18"/>
        <v>0.63700120918984282</v>
      </c>
      <c r="D71" s="464">
        <f t="shared" si="18"/>
        <v>8.6978636826042732E-2</v>
      </c>
      <c r="E71" s="464">
        <f t="shared" si="18"/>
        <v>0.44527629233511584</v>
      </c>
      <c r="F71" s="464">
        <f t="shared" si="19"/>
        <v>0.42057471524648443</v>
      </c>
      <c r="G71" s="464">
        <f t="shared" si="20"/>
        <v>0.7057884838237809</v>
      </c>
      <c r="H71" s="400">
        <f t="shared" si="20"/>
        <v>0.48669745958429561</v>
      </c>
      <c r="I71" s="400">
        <f t="shared" si="21"/>
        <v>0.6275414555701061</v>
      </c>
      <c r="J71" s="401">
        <f t="shared" si="22"/>
        <v>0.73596208566670207</v>
      </c>
      <c r="K71" s="460"/>
    </row>
    <row r="72" spans="1:11" x14ac:dyDescent="0.2">
      <c r="A72" s="398" t="s">
        <v>92</v>
      </c>
      <c r="B72" s="376">
        <f t="shared" si="18"/>
        <v>1372</v>
      </c>
      <c r="C72" s="376">
        <f t="shared" si="18"/>
        <v>1501</v>
      </c>
      <c r="D72" s="376">
        <f t="shared" si="18"/>
        <v>1795</v>
      </c>
      <c r="E72" s="376">
        <f t="shared" si="18"/>
        <v>4668</v>
      </c>
      <c r="F72" s="376">
        <f t="shared" si="19"/>
        <v>25588</v>
      </c>
      <c r="G72" s="376">
        <f t="shared" si="20"/>
        <v>15487</v>
      </c>
      <c r="H72" s="377">
        <f t="shared" si="20"/>
        <v>11113</v>
      </c>
      <c r="I72" s="377">
        <f t="shared" si="21"/>
        <v>1722715</v>
      </c>
      <c r="J72" s="378">
        <f t="shared" si="22"/>
        <v>83571966</v>
      </c>
      <c r="K72" s="459"/>
    </row>
    <row r="73" spans="1:11" x14ac:dyDescent="0.2">
      <c r="A73" s="399" t="s">
        <v>93</v>
      </c>
      <c r="B73" s="464">
        <f t="shared" si="18"/>
        <v>0.59291270527225581</v>
      </c>
      <c r="C73" s="464">
        <f t="shared" si="18"/>
        <v>0.36299879081015718</v>
      </c>
      <c r="D73" s="464">
        <f t="shared" si="18"/>
        <v>0.91302136317395732</v>
      </c>
      <c r="E73" s="464">
        <f t="shared" si="18"/>
        <v>0.5547237076648841</v>
      </c>
      <c r="F73" s="464">
        <f t="shared" si="19"/>
        <v>0.57942528475351551</v>
      </c>
      <c r="G73" s="464">
        <f t="shared" si="20"/>
        <v>0.29421151617621916</v>
      </c>
      <c r="H73" s="400">
        <f t="shared" si="20"/>
        <v>0.51330254041570433</v>
      </c>
      <c r="I73" s="400">
        <f t="shared" si="21"/>
        <v>0.3724585444298939</v>
      </c>
      <c r="J73" s="401">
        <f t="shared" si="22"/>
        <v>0.26403791433329793</v>
      </c>
      <c r="K73" s="460"/>
    </row>
    <row r="74" spans="1:11" x14ac:dyDescent="0.2">
      <c r="A74" s="398" t="s">
        <v>94</v>
      </c>
      <c r="B74" s="376">
        <f t="shared" si="18"/>
        <v>0</v>
      </c>
      <c r="C74" s="376">
        <f t="shared" si="18"/>
        <v>291</v>
      </c>
      <c r="D74" s="376">
        <f t="shared" si="18"/>
        <v>0</v>
      </c>
      <c r="E74" s="376">
        <f t="shared" si="18"/>
        <v>291</v>
      </c>
      <c r="F74" s="376">
        <f t="shared" si="19"/>
        <v>2333</v>
      </c>
      <c r="G74" s="376">
        <f t="shared" si="20"/>
        <v>2971</v>
      </c>
      <c r="H74" s="377">
        <f t="shared" si="20"/>
        <v>333</v>
      </c>
      <c r="I74" s="377">
        <f t="shared" si="21"/>
        <v>218263</v>
      </c>
      <c r="J74" s="378">
        <f t="shared" si="22"/>
        <v>54232205</v>
      </c>
      <c r="K74" s="459"/>
    </row>
    <row r="75" spans="1:11" ht="13.5" thickBot="1" x14ac:dyDescent="0.25">
      <c r="A75" s="403" t="s">
        <v>95</v>
      </c>
      <c r="B75" s="465">
        <f t="shared" si="18"/>
        <v>0</v>
      </c>
      <c r="C75" s="465">
        <f t="shared" si="18"/>
        <v>7.0374848851269656E-2</v>
      </c>
      <c r="D75" s="465">
        <f t="shared" si="18"/>
        <v>0</v>
      </c>
      <c r="E75" s="465">
        <f t="shared" si="18"/>
        <v>3.4581105169340466E-2</v>
      </c>
      <c r="F75" s="465">
        <f t="shared" si="19"/>
        <v>5.2829419623649829E-2</v>
      </c>
      <c r="G75" s="465">
        <f t="shared" si="20"/>
        <v>5.6441041813104352E-2</v>
      </c>
      <c r="H75" s="404">
        <f t="shared" si="20"/>
        <v>1.5381062355658198E-2</v>
      </c>
      <c r="I75" s="404">
        <f t="shared" si="21"/>
        <v>4.7189418611262995E-2</v>
      </c>
      <c r="J75" s="406">
        <f t="shared" si="22"/>
        <v>0.17134164700511956</v>
      </c>
      <c r="K75" s="460"/>
    </row>
    <row r="76" spans="1:11" x14ac:dyDescent="0.2">
      <c r="K76" s="2"/>
    </row>
    <row r="79" spans="1:11" x14ac:dyDescent="0.2">
      <c r="A79" s="650" t="s">
        <v>322</v>
      </c>
      <c r="B79" s="650"/>
      <c r="C79" s="650"/>
      <c r="D79" s="650"/>
      <c r="E79" s="650"/>
      <c r="F79" s="650"/>
    </row>
    <row r="80" spans="1:11" ht="25.5" x14ac:dyDescent="0.2">
      <c r="A80" s="441" t="s">
        <v>323</v>
      </c>
      <c r="B80" s="441" t="s">
        <v>48</v>
      </c>
      <c r="C80" s="441" t="s">
        <v>49</v>
      </c>
      <c r="D80" s="441" t="s">
        <v>76</v>
      </c>
      <c r="E80" s="441" t="s">
        <v>77</v>
      </c>
      <c r="F80" s="441" t="s">
        <v>78</v>
      </c>
    </row>
    <row r="81" spans="1:6" x14ac:dyDescent="0.2">
      <c r="A81" s="442" t="s">
        <v>69</v>
      </c>
      <c r="B81" s="469">
        <v>316515021</v>
      </c>
      <c r="C81" s="469">
        <v>4625253</v>
      </c>
      <c r="D81" s="469">
        <v>52639</v>
      </c>
      <c r="E81" s="469">
        <v>21650</v>
      </c>
      <c r="F81" s="469">
        <v>44161</v>
      </c>
    </row>
    <row r="82" spans="1:6" x14ac:dyDescent="0.2">
      <c r="A82" s="442" t="s">
        <v>324</v>
      </c>
      <c r="B82" s="469">
        <v>155724280</v>
      </c>
      <c r="C82" s="469">
        <v>2261156</v>
      </c>
      <c r="D82" s="469">
        <v>25699</v>
      </c>
      <c r="E82" s="469">
        <v>10426</v>
      </c>
      <c r="F82" s="469">
        <v>21467</v>
      </c>
    </row>
    <row r="83" spans="1:6" x14ac:dyDescent="0.2">
      <c r="A83" s="442" t="s">
        <v>325</v>
      </c>
      <c r="B83" s="469">
        <v>160790741</v>
      </c>
      <c r="C83" s="469">
        <v>2364097</v>
      </c>
      <c r="D83" s="469">
        <v>26940</v>
      </c>
      <c r="E83" s="469">
        <v>11224</v>
      </c>
      <c r="F83" s="469">
        <v>22694</v>
      </c>
    </row>
    <row r="84" spans="1:6" x14ac:dyDescent="0.2">
      <c r="A84" s="442" t="s">
        <v>90</v>
      </c>
      <c r="B84" s="469">
        <v>232943055</v>
      </c>
      <c r="C84" s="469">
        <v>2902538</v>
      </c>
      <c r="D84" s="469">
        <v>37152</v>
      </c>
      <c r="E84" s="469">
        <v>10537</v>
      </c>
      <c r="F84" s="469">
        <v>18573</v>
      </c>
    </row>
    <row r="85" spans="1:6" x14ac:dyDescent="0.2">
      <c r="A85" s="442" t="s">
        <v>326</v>
      </c>
      <c r="B85" s="469">
        <v>39908095</v>
      </c>
      <c r="C85" s="469">
        <v>1484363</v>
      </c>
      <c r="D85" s="469">
        <v>13867</v>
      </c>
      <c r="E85" s="469">
        <v>10893</v>
      </c>
      <c r="F85" s="469">
        <v>23999</v>
      </c>
    </row>
    <row r="86" spans="1:6" x14ac:dyDescent="0.2">
      <c r="A86" s="442" t="s">
        <v>327</v>
      </c>
      <c r="B86" s="469">
        <v>2569170</v>
      </c>
      <c r="C86" s="469">
        <v>27238</v>
      </c>
      <c r="D86" s="469">
        <v>104</v>
      </c>
      <c r="E86" s="469">
        <v>28</v>
      </c>
      <c r="F86" s="469">
        <v>30</v>
      </c>
    </row>
    <row r="87" spans="1:6" x14ac:dyDescent="0.2">
      <c r="A87" s="442" t="s">
        <v>328</v>
      </c>
      <c r="B87" s="469">
        <v>16235305</v>
      </c>
      <c r="C87" s="469">
        <v>77818</v>
      </c>
      <c r="D87" s="469">
        <v>582</v>
      </c>
      <c r="E87" s="469">
        <v>12</v>
      </c>
      <c r="F87" s="469">
        <v>210</v>
      </c>
    </row>
    <row r="88" spans="1:6" x14ac:dyDescent="0.2">
      <c r="A88" s="442" t="s">
        <v>329</v>
      </c>
      <c r="B88" s="469">
        <v>546255</v>
      </c>
      <c r="C88" s="469">
        <v>1824</v>
      </c>
      <c r="D88" s="469">
        <v>15</v>
      </c>
      <c r="E88" s="469">
        <v>0</v>
      </c>
      <c r="F88" s="469">
        <v>120</v>
      </c>
    </row>
    <row r="89" spans="1:6" x14ac:dyDescent="0.2">
      <c r="A89" s="442" t="s">
        <v>330</v>
      </c>
      <c r="B89" s="469">
        <v>9447883</v>
      </c>
      <c r="C89" s="469">
        <v>83877</v>
      </c>
      <c r="D89" s="469">
        <v>562</v>
      </c>
      <c r="E89" s="469">
        <v>129</v>
      </c>
      <c r="F89" s="469">
        <v>794</v>
      </c>
    </row>
    <row r="90" spans="1:6" x14ac:dyDescent="0.2">
      <c r="A90" s="442" t="s">
        <v>331</v>
      </c>
      <c r="B90" s="469">
        <v>54232205</v>
      </c>
      <c r="C90" s="469">
        <v>218263</v>
      </c>
      <c r="D90" s="469">
        <v>2971</v>
      </c>
      <c r="E90" s="469">
        <v>333</v>
      </c>
      <c r="F90" s="469">
        <v>2333</v>
      </c>
    </row>
    <row r="91" spans="1:6" x14ac:dyDescent="0.2">
      <c r="A91" s="442" t="s">
        <v>332</v>
      </c>
      <c r="B91" s="469">
        <v>183233428</v>
      </c>
      <c r="C91" s="469">
        <v>2535109</v>
      </c>
      <c r="D91" s="469">
        <v>30096</v>
      </c>
      <c r="E91" s="469">
        <v>12179</v>
      </c>
      <c r="F91" s="469">
        <v>23714</v>
      </c>
    </row>
    <row r="92" spans="1:6" x14ac:dyDescent="0.2">
      <c r="A92" s="442" t="s">
        <v>333</v>
      </c>
      <c r="B92" s="469">
        <v>62952272</v>
      </c>
      <c r="C92" s="469">
        <v>685312</v>
      </c>
      <c r="D92" s="469">
        <v>6998</v>
      </c>
      <c r="E92" s="469">
        <v>2056</v>
      </c>
      <c r="F92" s="469">
        <v>4744</v>
      </c>
    </row>
    <row r="93" spans="1:6" x14ac:dyDescent="0.2">
      <c r="A93" s="442" t="s">
        <v>334</v>
      </c>
      <c r="B93" s="469">
        <v>49059828.255000003</v>
      </c>
      <c r="C93" s="469">
        <v>915800.09400000004</v>
      </c>
      <c r="D93" s="469">
        <v>6211.402</v>
      </c>
      <c r="E93" s="469">
        <v>3897</v>
      </c>
      <c r="F93" s="469">
        <v>8037.3019999999997</v>
      </c>
    </row>
    <row r="94" spans="1:6" x14ac:dyDescent="0.2">
      <c r="A94" s="661" t="s">
        <v>335</v>
      </c>
      <c r="B94" s="661"/>
      <c r="C94" s="661"/>
      <c r="D94" s="661"/>
      <c r="E94" s="661"/>
      <c r="F94" s="661"/>
    </row>
    <row r="96" spans="1:6" x14ac:dyDescent="0.2">
      <c r="A96" s="650" t="s">
        <v>322</v>
      </c>
      <c r="B96" s="650"/>
      <c r="C96" s="650"/>
      <c r="D96" s="650"/>
      <c r="E96" s="650"/>
      <c r="F96" s="650"/>
    </row>
    <row r="97" spans="1:6" ht="25.5" x14ac:dyDescent="0.2">
      <c r="A97" s="441" t="s">
        <v>323</v>
      </c>
      <c r="B97" s="441" t="s">
        <v>48</v>
      </c>
      <c r="C97" s="441" t="s">
        <v>49</v>
      </c>
      <c r="D97" s="441" t="s">
        <v>76</v>
      </c>
      <c r="E97" s="441" t="s">
        <v>77</v>
      </c>
      <c r="F97" s="441" t="s">
        <v>78</v>
      </c>
    </row>
    <row r="98" spans="1:6" x14ac:dyDescent="0.2">
      <c r="A98" s="442" t="s">
        <v>69</v>
      </c>
      <c r="B98" s="469">
        <v>316515021</v>
      </c>
      <c r="C98" s="469">
        <v>4625253</v>
      </c>
      <c r="D98" s="469">
        <v>52639</v>
      </c>
      <c r="E98" s="469">
        <v>21650</v>
      </c>
      <c r="F98" s="469">
        <v>44161</v>
      </c>
    </row>
    <row r="99" spans="1:6" x14ac:dyDescent="0.2">
      <c r="A99" s="442" t="s">
        <v>324</v>
      </c>
      <c r="B99" s="470">
        <f>B82/B$81</f>
        <v>0.49199649200851042</v>
      </c>
      <c r="C99" s="470">
        <f>C82/C$81</f>
        <v>0.48887185198301586</v>
      </c>
      <c r="D99" s="470">
        <f>D82/D$81</f>
        <v>0.48821216208514601</v>
      </c>
      <c r="E99" s="470">
        <f>E82/E$81</f>
        <v>0.48157043879907624</v>
      </c>
      <c r="F99" s="470">
        <f>F82/F$81</f>
        <v>0.48610765154774577</v>
      </c>
    </row>
    <row r="100" spans="1:6" x14ac:dyDescent="0.2">
      <c r="A100" s="442" t="s">
        <v>325</v>
      </c>
      <c r="B100" s="470">
        <f t="shared" ref="B100:F110" si="23">B83/B$81</f>
        <v>0.50800350799148963</v>
      </c>
      <c r="C100" s="470">
        <f t="shared" si="23"/>
        <v>0.51112814801698414</v>
      </c>
      <c r="D100" s="470">
        <f t="shared" si="23"/>
        <v>0.51178783791485405</v>
      </c>
      <c r="E100" s="470">
        <f t="shared" si="23"/>
        <v>0.51842956120092376</v>
      </c>
      <c r="F100" s="470">
        <f t="shared" si="23"/>
        <v>0.51389234845225429</v>
      </c>
    </row>
    <row r="101" spans="1:6" x14ac:dyDescent="0.2">
      <c r="A101" s="442" t="s">
        <v>90</v>
      </c>
      <c r="B101" s="470">
        <f t="shared" si="23"/>
        <v>0.73596208566670207</v>
      </c>
      <c r="C101" s="470">
        <f t="shared" si="23"/>
        <v>0.6275414555701061</v>
      </c>
      <c r="D101" s="470">
        <f t="shared" si="23"/>
        <v>0.7057884838237809</v>
      </c>
      <c r="E101" s="470">
        <f t="shared" si="23"/>
        <v>0.48669745958429561</v>
      </c>
      <c r="F101" s="470">
        <f t="shared" si="23"/>
        <v>0.42057471524648443</v>
      </c>
    </row>
    <row r="102" spans="1:6" x14ac:dyDescent="0.2">
      <c r="A102" s="442" t="s">
        <v>326</v>
      </c>
      <c r="B102" s="470">
        <f t="shared" si="23"/>
        <v>0.12608594332715728</v>
      </c>
      <c r="C102" s="470">
        <f t="shared" si="23"/>
        <v>0.32092579584295172</v>
      </c>
      <c r="D102" s="470">
        <f t="shared" si="23"/>
        <v>0.26343585554436827</v>
      </c>
      <c r="E102" s="470">
        <f t="shared" si="23"/>
        <v>0.5031408775981524</v>
      </c>
      <c r="F102" s="470">
        <f t="shared" si="23"/>
        <v>0.54344330970766064</v>
      </c>
    </row>
    <row r="103" spans="1:6" x14ac:dyDescent="0.2">
      <c r="A103" s="442" t="s">
        <v>327</v>
      </c>
      <c r="B103" s="470">
        <f t="shared" si="23"/>
        <v>8.1170555251467835E-3</v>
      </c>
      <c r="C103" s="470">
        <f t="shared" si="23"/>
        <v>5.8889751544402005E-3</v>
      </c>
      <c r="D103" s="470">
        <f t="shared" si="23"/>
        <v>1.9757214232793176E-3</v>
      </c>
      <c r="E103" s="470">
        <f t="shared" si="23"/>
        <v>1.2933025404157045E-3</v>
      </c>
      <c r="F103" s="470">
        <f t="shared" si="23"/>
        <v>6.7933244265301965E-4</v>
      </c>
    </row>
    <row r="104" spans="1:6" x14ac:dyDescent="0.2">
      <c r="A104" s="442" t="s">
        <v>328</v>
      </c>
      <c r="B104" s="470">
        <f t="shared" si="23"/>
        <v>5.1293947910295228E-2</v>
      </c>
      <c r="C104" s="470">
        <f t="shared" si="23"/>
        <v>1.6824593162795637E-2</v>
      </c>
      <c r="D104" s="470">
        <f t="shared" si="23"/>
        <v>1.1056441041813104E-2</v>
      </c>
      <c r="E104" s="470">
        <f t="shared" si="23"/>
        <v>5.5427251732101618E-4</v>
      </c>
      <c r="F104" s="470">
        <f t="shared" si="23"/>
        <v>4.7553270985711375E-3</v>
      </c>
    </row>
    <row r="105" spans="1:6" x14ac:dyDescent="0.2">
      <c r="A105" s="442" t="s">
        <v>329</v>
      </c>
      <c r="B105" s="470">
        <f t="shared" si="23"/>
        <v>1.72584226263309E-3</v>
      </c>
      <c r="C105" s="470">
        <f t="shared" si="23"/>
        <v>3.9435680599526126E-4</v>
      </c>
      <c r="D105" s="470">
        <f t="shared" si="23"/>
        <v>2.8495982066528621E-4</v>
      </c>
      <c r="E105" s="470">
        <f t="shared" si="23"/>
        <v>0</v>
      </c>
      <c r="F105" s="470">
        <f t="shared" si="23"/>
        <v>2.7173297706120786E-3</v>
      </c>
    </row>
    <row r="106" spans="1:6" x14ac:dyDescent="0.2">
      <c r="A106" s="442" t="s">
        <v>330</v>
      </c>
      <c r="B106" s="470">
        <f t="shared" si="23"/>
        <v>2.9849714462682642E-2</v>
      </c>
      <c r="C106" s="470">
        <f t="shared" si="23"/>
        <v>1.8134575557272218E-2</v>
      </c>
      <c r="D106" s="470">
        <f t="shared" si="23"/>
        <v>1.067649461425939E-2</v>
      </c>
      <c r="E106" s="470">
        <f t="shared" si="23"/>
        <v>5.9584295612009237E-3</v>
      </c>
      <c r="F106" s="470">
        <f t="shared" si="23"/>
        <v>1.7979665315549918E-2</v>
      </c>
    </row>
    <row r="107" spans="1:6" x14ac:dyDescent="0.2">
      <c r="A107" s="442" t="s">
        <v>331</v>
      </c>
      <c r="B107" s="470">
        <f t="shared" si="23"/>
        <v>0.17134164700511956</v>
      </c>
      <c r="C107" s="470">
        <f t="shared" si="23"/>
        <v>4.7189418611262995E-2</v>
      </c>
      <c r="D107" s="470">
        <f t="shared" si="23"/>
        <v>5.6441041813104352E-2</v>
      </c>
      <c r="E107" s="470">
        <f t="shared" si="23"/>
        <v>1.5381062355658198E-2</v>
      </c>
      <c r="F107" s="470">
        <f t="shared" si="23"/>
        <v>5.2829419623649829E-2</v>
      </c>
    </row>
    <row r="108" spans="1:6" x14ac:dyDescent="0.2">
      <c r="A108" s="442" t="s">
        <v>332</v>
      </c>
      <c r="B108" s="470">
        <f t="shared" si="23"/>
        <v>0.5789091064970342</v>
      </c>
      <c r="C108" s="470">
        <f t="shared" si="23"/>
        <v>0.54810169303171097</v>
      </c>
      <c r="D108" s="470">
        <f t="shared" si="23"/>
        <v>0.57174338418283022</v>
      </c>
      <c r="E108" s="470">
        <f t="shared" si="23"/>
        <v>0.56254041570438795</v>
      </c>
      <c r="F108" s="470">
        <f t="shared" si="23"/>
        <v>0.53698965150245692</v>
      </c>
    </row>
    <row r="109" spans="1:6" x14ac:dyDescent="0.2">
      <c r="A109" s="442" t="s">
        <v>333</v>
      </c>
      <c r="B109" s="470">
        <f>B92/B$81</f>
        <v>0.19889189398060195</v>
      </c>
      <c r="C109" s="470">
        <f>C92/C$81</f>
        <v>0.1481674624069213</v>
      </c>
      <c r="D109" s="470">
        <f>D92/D$81</f>
        <v>0.13294325500104484</v>
      </c>
      <c r="E109" s="470">
        <f>E92/E$81</f>
        <v>9.4965357967667433E-2</v>
      </c>
      <c r="F109" s="470">
        <f>F92/F$81</f>
        <v>0.1074251035981975</v>
      </c>
    </row>
    <row r="110" spans="1:6" x14ac:dyDescent="0.2">
      <c r="A110" s="442" t="s">
        <v>334</v>
      </c>
      <c r="B110" s="470">
        <f t="shared" si="23"/>
        <v>0.155</v>
      </c>
      <c r="C110" s="470">
        <f t="shared" si="23"/>
        <v>0.19800000000000001</v>
      </c>
      <c r="D110" s="470">
        <f t="shared" si="23"/>
        <v>0.11800000000000001</v>
      </c>
      <c r="E110" s="470">
        <f t="shared" si="23"/>
        <v>0.18</v>
      </c>
      <c r="F110" s="470">
        <f t="shared" si="23"/>
        <v>0.182</v>
      </c>
    </row>
    <row r="111" spans="1:6" x14ac:dyDescent="0.2">
      <c r="A111" s="661" t="s">
        <v>335</v>
      </c>
      <c r="B111" s="661"/>
      <c r="C111" s="661"/>
      <c r="D111" s="661"/>
      <c r="E111" s="661"/>
      <c r="F111" s="661"/>
    </row>
    <row r="112" spans="1:6" x14ac:dyDescent="0.2">
      <c r="B112" s="468"/>
      <c r="C112" s="468"/>
      <c r="D112" s="1"/>
      <c r="E112" s="1"/>
    </row>
    <row r="113" spans="2:5" x14ac:dyDescent="0.2">
      <c r="B113" s="468"/>
      <c r="C113" s="468"/>
      <c r="D113" s="1"/>
      <c r="E113" s="1"/>
    </row>
    <row r="114" spans="2:5" x14ac:dyDescent="0.2">
      <c r="B114" s="468"/>
      <c r="C114" s="468"/>
      <c r="D114" s="1"/>
      <c r="E114" s="1"/>
    </row>
    <row r="115" spans="2:5" x14ac:dyDescent="0.2">
      <c r="E115" s="1"/>
    </row>
  </sheetData>
  <mergeCells count="6">
    <mergeCell ref="A111:F111"/>
    <mergeCell ref="A2:K2"/>
    <mergeCell ref="A1:K1"/>
    <mergeCell ref="A79:F79"/>
    <mergeCell ref="A94:F94"/>
    <mergeCell ref="A96:F96"/>
  </mergeCells>
  <pageMargins left="0.25" right="0.25" top="0.75" bottom="0.75" header="0.3" footer="0.3"/>
  <pageSetup scale="85" orientation="landscape" verticalDpi="0" r:id="rId1"/>
  <rowBreaks count="2" manualBreakCount="2">
    <brk id="32" max="16383" man="1"/>
    <brk id="67" max="20" man="1"/>
  </rowBreaks>
  <colBreaks count="2" manualBreakCount="2">
    <brk id="6" max="1048575" man="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zoomScaleNormal="100" workbookViewId="0">
      <selection sqref="A1:B2"/>
    </sheetView>
  </sheetViews>
  <sheetFormatPr defaultRowHeight="12" x14ac:dyDescent="0.2"/>
  <cols>
    <col min="1" max="1" width="62.85546875" style="236" customWidth="1"/>
    <col min="2" max="2" width="15" style="236" customWidth="1"/>
    <col min="3" max="16384" width="9.140625" style="236"/>
  </cols>
  <sheetData>
    <row r="1" spans="1:14" x14ac:dyDescent="0.2">
      <c r="A1" s="566"/>
      <c r="B1" s="566"/>
    </row>
    <row r="2" spans="1:14" x14ac:dyDescent="0.2">
      <c r="A2" s="567" t="s">
        <v>10</v>
      </c>
      <c r="B2" s="567"/>
    </row>
    <row r="3" spans="1:14" x14ac:dyDescent="0.2">
      <c r="A3" s="542" t="s">
        <v>261</v>
      </c>
      <c r="B3" s="541" t="s">
        <v>11</v>
      </c>
    </row>
    <row r="4" spans="1:14" x14ac:dyDescent="0.2">
      <c r="A4" s="543" t="s">
        <v>33</v>
      </c>
      <c r="B4" s="544">
        <v>7.0000000000000007E-2</v>
      </c>
      <c r="F4" s="259"/>
      <c r="G4" s="259"/>
      <c r="H4" s="259"/>
      <c r="I4" s="259"/>
      <c r="J4" s="259"/>
      <c r="K4" s="259"/>
      <c r="L4" s="259"/>
      <c r="M4" s="259"/>
      <c r="N4" s="259"/>
    </row>
    <row r="5" spans="1:14" x14ac:dyDescent="0.2">
      <c r="A5" s="543" t="s">
        <v>9</v>
      </c>
      <c r="B5" s="545">
        <v>30</v>
      </c>
      <c r="C5" s="259"/>
    </row>
    <row r="6" spans="1:14" x14ac:dyDescent="0.2">
      <c r="A6" s="543" t="s">
        <v>145</v>
      </c>
      <c r="B6" s="546">
        <v>17</v>
      </c>
    </row>
    <row r="7" spans="1:14" x14ac:dyDescent="0.2">
      <c r="A7" s="543" t="s">
        <v>146</v>
      </c>
      <c r="B7" s="546">
        <v>50</v>
      </c>
    </row>
    <row r="8" spans="1:14" ht="12.75" x14ac:dyDescent="0.2">
      <c r="A8" s="543" t="s">
        <v>388</v>
      </c>
      <c r="B8" s="546">
        <v>7.4</v>
      </c>
      <c r="D8" s="540"/>
    </row>
    <row r="9" spans="1:14" x14ac:dyDescent="0.2">
      <c r="A9" s="543" t="s">
        <v>152</v>
      </c>
      <c r="B9" s="547">
        <v>3</v>
      </c>
    </row>
    <row r="10" spans="1:14" x14ac:dyDescent="0.2">
      <c r="A10" s="543" t="s">
        <v>153</v>
      </c>
      <c r="B10" s="547">
        <v>2.9</v>
      </c>
    </row>
    <row r="11" spans="1:14" x14ac:dyDescent="0.2">
      <c r="A11" s="543" t="s">
        <v>156</v>
      </c>
      <c r="B11" s="546">
        <v>25</v>
      </c>
    </row>
    <row r="12" spans="1:14" x14ac:dyDescent="0.2">
      <c r="A12" s="543" t="s">
        <v>157</v>
      </c>
      <c r="B12" s="546">
        <f>B11*0.75</f>
        <v>18.75</v>
      </c>
    </row>
    <row r="13" spans="1:14" x14ac:dyDescent="0.2">
      <c r="A13" s="543" t="s">
        <v>389</v>
      </c>
      <c r="B13" s="548">
        <v>3.1E-2</v>
      </c>
    </row>
    <row r="14" spans="1:14" x14ac:dyDescent="0.2">
      <c r="A14" s="543" t="s">
        <v>390</v>
      </c>
      <c r="B14" s="519">
        <f>B13*'T30 CPI'!$B$28/'T30 CPI'!$B$9</f>
        <v>4.6903482866043615E-2</v>
      </c>
    </row>
    <row r="15" spans="1:14" x14ac:dyDescent="0.2">
      <c r="A15" s="543" t="s">
        <v>392</v>
      </c>
      <c r="B15" s="519">
        <v>2.7759999999999998</v>
      </c>
    </row>
    <row r="16" spans="1:14" x14ac:dyDescent="0.2">
      <c r="A16" s="543" t="s">
        <v>396</v>
      </c>
      <c r="B16" s="519">
        <v>0.45500000000000002</v>
      </c>
    </row>
    <row r="17" spans="1:2" x14ac:dyDescent="0.2">
      <c r="A17" s="543" t="s">
        <v>397</v>
      </c>
      <c r="B17" s="519">
        <v>0.46100000000000002</v>
      </c>
    </row>
    <row r="18" spans="1:2" x14ac:dyDescent="0.2">
      <c r="A18" s="543" t="s">
        <v>398</v>
      </c>
      <c r="B18" s="519">
        <v>2.395</v>
      </c>
    </row>
    <row r="19" spans="1:2" x14ac:dyDescent="0.2">
      <c r="A19" s="543" t="s">
        <v>399</v>
      </c>
      <c r="B19" s="519">
        <v>9.1910000000000007</v>
      </c>
    </row>
    <row r="20" spans="1:2" x14ac:dyDescent="0.2">
      <c r="A20" s="543" t="s">
        <v>400</v>
      </c>
      <c r="B20" s="519">
        <v>0.215</v>
      </c>
    </row>
    <row r="21" spans="1:2" x14ac:dyDescent="0.2">
      <c r="A21" s="543" t="s">
        <v>401</v>
      </c>
      <c r="B21" s="549">
        <v>0.54500000000000004</v>
      </c>
    </row>
    <row r="22" spans="1:2" x14ac:dyDescent="0.2">
      <c r="A22" s="543" t="s">
        <v>402</v>
      </c>
      <c r="B22" s="550">
        <v>0.55200000000000005</v>
      </c>
    </row>
    <row r="23" spans="1:2" x14ac:dyDescent="0.2">
      <c r="A23" s="543" t="s">
        <v>403</v>
      </c>
      <c r="B23" s="550">
        <v>3.109</v>
      </c>
    </row>
    <row r="24" spans="1:2" x14ac:dyDescent="0.2">
      <c r="A24" s="543" t="s">
        <v>404</v>
      </c>
      <c r="B24" s="550">
        <v>10.99</v>
      </c>
    </row>
    <row r="25" spans="1:2" x14ac:dyDescent="0.2">
      <c r="A25" s="543" t="s">
        <v>405</v>
      </c>
      <c r="B25" s="550">
        <v>0.23799999999999999</v>
      </c>
    </row>
    <row r="26" spans="1:2" x14ac:dyDescent="0.2">
      <c r="A26" s="543" t="s">
        <v>406</v>
      </c>
      <c r="B26" s="551">
        <v>1.6799999999999999E-2</v>
      </c>
    </row>
    <row r="27" spans="1:2" x14ac:dyDescent="0.2">
      <c r="A27" s="543" t="s">
        <v>407</v>
      </c>
      <c r="B27" s="551">
        <f>B26*'T30 CPI'!$B$28/'T30 CPI'!$B$9</f>
        <v>2.541866168224299E-2</v>
      </c>
    </row>
    <row r="28" spans="1:2" x14ac:dyDescent="0.2">
      <c r="A28" s="543" t="s">
        <v>408</v>
      </c>
      <c r="B28" s="546">
        <v>206</v>
      </c>
    </row>
    <row r="29" spans="1:2" x14ac:dyDescent="0.2">
      <c r="A29" s="543" t="s">
        <v>409</v>
      </c>
      <c r="B29" s="546">
        <v>17</v>
      </c>
    </row>
    <row r="30" spans="1:2" x14ac:dyDescent="0.2">
      <c r="A30" s="543" t="s">
        <v>410</v>
      </c>
      <c r="B30" s="546">
        <v>10</v>
      </c>
    </row>
    <row r="31" spans="1:2" x14ac:dyDescent="0.2">
      <c r="A31" s="543" t="s">
        <v>411</v>
      </c>
      <c r="B31" s="546">
        <v>655</v>
      </c>
    </row>
    <row r="32" spans="1:2" ht="10.5" customHeight="1" x14ac:dyDescent="0.2">
      <c r="A32" s="543" t="s">
        <v>412</v>
      </c>
      <c r="B32" s="549">
        <v>1.25</v>
      </c>
    </row>
    <row r="33" spans="1:3" x14ac:dyDescent="0.2">
      <c r="A33" s="543" t="s">
        <v>414</v>
      </c>
      <c r="B33" s="546">
        <v>3000</v>
      </c>
    </row>
    <row r="34" spans="1:3" x14ac:dyDescent="0.2">
      <c r="A34" s="543" t="s">
        <v>416</v>
      </c>
      <c r="B34" s="45">
        <v>535</v>
      </c>
      <c r="C34" s="552"/>
    </row>
    <row r="35" spans="1:3" ht="12.75" customHeight="1" x14ac:dyDescent="0.2">
      <c r="A35" s="543" t="s">
        <v>417</v>
      </c>
      <c r="B35" s="546">
        <v>24</v>
      </c>
    </row>
    <row r="36" spans="1:3" x14ac:dyDescent="0.2">
      <c r="A36" s="543" t="s">
        <v>419</v>
      </c>
      <c r="B36" s="519">
        <v>39.19</v>
      </c>
    </row>
    <row r="37" spans="1:3" ht="12.75" customHeight="1" x14ac:dyDescent="0.2">
      <c r="A37" s="543" t="s">
        <v>420</v>
      </c>
      <c r="B37" s="519">
        <v>20.84</v>
      </c>
    </row>
    <row r="38" spans="1:3" ht="12.75" customHeight="1" x14ac:dyDescent="0.2">
      <c r="A38" s="543" t="s">
        <v>421</v>
      </c>
      <c r="B38" s="519">
        <v>35.64</v>
      </c>
    </row>
    <row r="39" spans="1:3" ht="12.75" customHeight="1" x14ac:dyDescent="0.2">
      <c r="A39" s="543" t="s">
        <v>422</v>
      </c>
      <c r="B39" s="519">
        <v>37.68</v>
      </c>
    </row>
    <row r="40" spans="1:3" ht="12.75" customHeight="1" x14ac:dyDescent="0.2">
      <c r="A40" s="543" t="s">
        <v>425</v>
      </c>
      <c r="B40" s="519">
        <v>0.19</v>
      </c>
    </row>
    <row r="41" spans="1:3" ht="12.75" customHeight="1" x14ac:dyDescent="0.2">
      <c r="A41" s="543" t="s">
        <v>426</v>
      </c>
      <c r="B41" s="519">
        <v>1.1499999999999999</v>
      </c>
    </row>
    <row r="42" spans="1:3" ht="12.75" customHeight="1" x14ac:dyDescent="0.2">
      <c r="A42" s="543" t="s">
        <v>427</v>
      </c>
      <c r="B42" s="519">
        <v>0.15</v>
      </c>
    </row>
    <row r="43" spans="1:3" ht="12.75" customHeight="1" x14ac:dyDescent="0.2">
      <c r="A43" s="543" t="s">
        <v>428</v>
      </c>
      <c r="B43" s="519">
        <v>0.47</v>
      </c>
    </row>
    <row r="44" spans="1:3" ht="12.75" customHeight="1" x14ac:dyDescent="0.2">
      <c r="A44" s="543" t="s">
        <v>429</v>
      </c>
      <c r="B44" s="546">
        <v>454</v>
      </c>
    </row>
    <row r="45" spans="1:3" ht="12.75" customHeight="1" x14ac:dyDescent="0.2">
      <c r="A45" s="543" t="s">
        <v>430</v>
      </c>
      <c r="B45" s="546">
        <v>195</v>
      </c>
    </row>
    <row r="46" spans="1:3" ht="12.75" customHeight="1" x14ac:dyDescent="0.2">
      <c r="A46" s="543" t="s">
        <v>424</v>
      </c>
      <c r="B46" s="519">
        <v>26.58</v>
      </c>
    </row>
    <row r="47" spans="1:3" ht="12.75" customHeight="1" x14ac:dyDescent="0.2">
      <c r="A47" s="543" t="s">
        <v>432</v>
      </c>
      <c r="B47" s="9">
        <v>4050</v>
      </c>
    </row>
    <row r="48" spans="1:3" ht="12.75" customHeight="1" x14ac:dyDescent="0.2">
      <c r="A48" s="543" t="s">
        <v>433</v>
      </c>
      <c r="B48" s="9">
        <v>87000</v>
      </c>
    </row>
    <row r="49" spans="1:2" ht="12.75" customHeight="1" x14ac:dyDescent="0.2">
      <c r="A49" s="543" t="s">
        <v>434</v>
      </c>
      <c r="B49" s="553">
        <f>279844*1000000</f>
        <v>279844000000</v>
      </c>
    </row>
    <row r="50" spans="1:2" ht="12.75" customHeight="1" x14ac:dyDescent="0.2">
      <c r="A50" s="543" t="s">
        <v>437</v>
      </c>
      <c r="B50" s="554">
        <v>28800</v>
      </c>
    </row>
    <row r="51" spans="1:2" ht="12.75" customHeight="1" x14ac:dyDescent="0.2">
      <c r="A51" s="543" t="s">
        <v>438</v>
      </c>
      <c r="B51" s="554">
        <v>451200</v>
      </c>
    </row>
    <row r="52" spans="1:2" ht="12.75" customHeight="1" x14ac:dyDescent="0.2">
      <c r="A52" s="543" t="s">
        <v>439</v>
      </c>
      <c r="B52" s="554">
        <v>1008000</v>
      </c>
    </row>
    <row r="53" spans="1:2" ht="12.75" customHeight="1" x14ac:dyDescent="0.2">
      <c r="A53" s="543" t="s">
        <v>440</v>
      </c>
      <c r="B53" s="554">
        <v>2553600</v>
      </c>
    </row>
    <row r="54" spans="1:2" ht="12.75" customHeight="1" x14ac:dyDescent="0.2">
      <c r="A54" s="543" t="s">
        <v>441</v>
      </c>
      <c r="B54" s="554">
        <v>5692800</v>
      </c>
    </row>
    <row r="55" spans="1:2" ht="12.75" customHeight="1" x14ac:dyDescent="0.2">
      <c r="A55" s="543" t="s">
        <v>442</v>
      </c>
      <c r="B55" s="554">
        <v>9600000</v>
      </c>
    </row>
    <row r="56" spans="1:2" ht="12.75" customHeight="1" x14ac:dyDescent="0.2">
      <c r="A56" s="555"/>
      <c r="B56" s="556"/>
    </row>
    <row r="57" spans="1:2" x14ac:dyDescent="0.2">
      <c r="A57" s="236" t="s">
        <v>395</v>
      </c>
      <c r="B57" s="557"/>
    </row>
    <row r="58" spans="1:2" ht="33.75" customHeight="1" x14ac:dyDescent="0.2">
      <c r="A58" s="568" t="s">
        <v>391</v>
      </c>
      <c r="B58" s="568"/>
    </row>
    <row r="59" spans="1:2" ht="33.75" customHeight="1" x14ac:dyDescent="0.2">
      <c r="A59" s="558" t="s">
        <v>393</v>
      </c>
      <c r="B59" s="558"/>
    </row>
    <row r="60" spans="1:2" ht="33.75" customHeight="1" x14ac:dyDescent="0.2">
      <c r="A60" s="557" t="s">
        <v>394</v>
      </c>
      <c r="B60" s="558"/>
    </row>
    <row r="61" spans="1:2" ht="33.75" customHeight="1" x14ac:dyDescent="0.2">
      <c r="A61" s="568" t="s">
        <v>444</v>
      </c>
      <c r="B61" s="568"/>
    </row>
    <row r="62" spans="1:2" ht="33.75" customHeight="1" x14ac:dyDescent="0.2">
      <c r="A62" s="557" t="s">
        <v>443</v>
      </c>
      <c r="B62" s="558"/>
    </row>
    <row r="63" spans="1:2" ht="15" customHeight="1" x14ac:dyDescent="0.2">
      <c r="A63" s="568" t="s">
        <v>413</v>
      </c>
      <c r="B63" s="568"/>
    </row>
    <row r="64" spans="1:2" ht="38.25" customHeight="1" x14ac:dyDescent="0.2">
      <c r="A64" s="568" t="s">
        <v>415</v>
      </c>
      <c r="B64" s="568"/>
    </row>
    <row r="65" spans="1:2" ht="20.100000000000001" customHeight="1" x14ac:dyDescent="0.2">
      <c r="A65" s="568" t="s">
        <v>418</v>
      </c>
      <c r="B65" s="568"/>
    </row>
    <row r="66" spans="1:2" ht="12.75" customHeight="1" x14ac:dyDescent="0.2">
      <c r="A66" s="239" t="s">
        <v>423</v>
      </c>
    </row>
    <row r="67" spans="1:2" ht="12.75" customHeight="1" x14ac:dyDescent="0.2">
      <c r="A67" s="239" t="s">
        <v>431</v>
      </c>
    </row>
    <row r="68" spans="1:2" ht="13.5" customHeight="1" x14ac:dyDescent="0.2">
      <c r="A68" s="557" t="s">
        <v>435</v>
      </c>
    </row>
    <row r="69" spans="1:2" x14ac:dyDescent="0.2">
      <c r="A69" s="569" t="s">
        <v>436</v>
      </c>
      <c r="B69" s="568"/>
    </row>
    <row r="70" spans="1:2" ht="27" customHeight="1" x14ac:dyDescent="0.2">
      <c r="B70" s="558"/>
    </row>
    <row r="71" spans="1:2" x14ac:dyDescent="0.2">
      <c r="A71" s="569"/>
      <c r="B71" s="569"/>
    </row>
    <row r="72" spans="1:2" ht="57.75" customHeight="1" x14ac:dyDescent="0.2">
      <c r="A72" s="569"/>
      <c r="B72" s="568"/>
    </row>
    <row r="73" spans="1:2" ht="25.5" customHeight="1" x14ac:dyDescent="0.2">
      <c r="A73" s="568"/>
      <c r="B73" s="568"/>
    </row>
    <row r="74" spans="1:2" x14ac:dyDescent="0.2">
      <c r="A74" s="570"/>
      <c r="B74" s="570"/>
    </row>
    <row r="76" spans="1:2" x14ac:dyDescent="0.2">
      <c r="B76" s="557"/>
    </row>
    <row r="77" spans="1:2" x14ac:dyDescent="0.2">
      <c r="B77" s="557"/>
    </row>
    <row r="78" spans="1:2" x14ac:dyDescent="0.2">
      <c r="A78" s="557"/>
      <c r="B78" s="557"/>
    </row>
    <row r="116" spans="1:2" ht="26.25" customHeight="1" x14ac:dyDescent="0.2">
      <c r="A116" s="569" t="s">
        <v>26</v>
      </c>
      <c r="B116" s="568"/>
    </row>
  </sheetData>
  <mergeCells count="13">
    <mergeCell ref="A116:B116"/>
    <mergeCell ref="A61:B61"/>
    <mergeCell ref="A65:B65"/>
    <mergeCell ref="A74:B74"/>
    <mergeCell ref="A73:B73"/>
    <mergeCell ref="A63:B63"/>
    <mergeCell ref="A64:B64"/>
    <mergeCell ref="A1:B1"/>
    <mergeCell ref="A2:B2"/>
    <mergeCell ref="A58:B58"/>
    <mergeCell ref="A72:B72"/>
    <mergeCell ref="A69:B69"/>
    <mergeCell ref="A71:B71"/>
  </mergeCells>
  <phoneticPr fontId="2" type="noConversion"/>
  <pageMargins left="0.75" right="0.75" top="0.5" bottom="0.5" header="0.5" footer="0.5"/>
  <pageSetup scale="97" orientation="portrait" r:id="rId1"/>
  <headerFooter alignWithMargins="0"/>
  <rowBreaks count="1" manualBreakCount="1">
    <brk id="5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A2" sqref="A2:B28"/>
    </sheetView>
  </sheetViews>
  <sheetFormatPr defaultRowHeight="12.75" x14ac:dyDescent="0.2"/>
  <cols>
    <col min="1" max="1" width="22.7109375" style="1" customWidth="1"/>
    <col min="2" max="2" width="20.7109375" style="1" customWidth="1"/>
    <col min="3" max="16384" width="9.140625" style="1"/>
  </cols>
  <sheetData>
    <row r="1" spans="1:2" ht="13.5" thickBot="1" x14ac:dyDescent="0.25"/>
    <row r="2" spans="1:2" x14ac:dyDescent="0.2">
      <c r="A2" s="642" t="s">
        <v>25</v>
      </c>
      <c r="B2" s="644"/>
    </row>
    <row r="3" spans="1:2" x14ac:dyDescent="0.2">
      <c r="A3" s="17">
        <v>1991</v>
      </c>
      <c r="B3" s="18">
        <v>136.19999999999999</v>
      </c>
    </row>
    <row r="4" spans="1:2" x14ac:dyDescent="0.2">
      <c r="A4" s="17">
        <v>1992</v>
      </c>
      <c r="B4" s="18">
        <v>140.30000000000001</v>
      </c>
    </row>
    <row r="5" spans="1:2" x14ac:dyDescent="0.2">
      <c r="A5" s="17">
        <v>1993</v>
      </c>
      <c r="B5" s="18">
        <v>144.5</v>
      </c>
    </row>
    <row r="6" spans="1:2" x14ac:dyDescent="0.2">
      <c r="A6" s="17">
        <v>1994</v>
      </c>
      <c r="B6" s="18">
        <v>148.19999999999999</v>
      </c>
    </row>
    <row r="7" spans="1:2" x14ac:dyDescent="0.2">
      <c r="A7" s="17">
        <v>1995</v>
      </c>
      <c r="B7" s="18">
        <v>152.4</v>
      </c>
    </row>
    <row r="8" spans="1:2" x14ac:dyDescent="0.2">
      <c r="A8" s="17">
        <v>1996</v>
      </c>
      <c r="B8" s="18">
        <v>156.9</v>
      </c>
    </row>
    <row r="9" spans="1:2" x14ac:dyDescent="0.2">
      <c r="A9" s="17">
        <v>1997</v>
      </c>
      <c r="B9" s="18">
        <v>160.5</v>
      </c>
    </row>
    <row r="10" spans="1:2" x14ac:dyDescent="0.2">
      <c r="A10" s="17">
        <v>1998</v>
      </c>
      <c r="B10" s="18">
        <v>163</v>
      </c>
    </row>
    <row r="11" spans="1:2" x14ac:dyDescent="0.2">
      <c r="A11" s="17">
        <v>1999</v>
      </c>
      <c r="B11" s="18">
        <v>166.6</v>
      </c>
    </row>
    <row r="12" spans="1:2" x14ac:dyDescent="0.2">
      <c r="A12" s="17">
        <v>2000</v>
      </c>
      <c r="B12" s="18">
        <v>172.2</v>
      </c>
    </row>
    <row r="13" spans="1:2" x14ac:dyDescent="0.2">
      <c r="A13" s="17">
        <v>2001</v>
      </c>
      <c r="B13" s="18">
        <v>177.1</v>
      </c>
    </row>
    <row r="14" spans="1:2" x14ac:dyDescent="0.2">
      <c r="A14" s="17">
        <v>2002</v>
      </c>
      <c r="B14" s="18">
        <v>179.9</v>
      </c>
    </row>
    <row r="15" spans="1:2" x14ac:dyDescent="0.2">
      <c r="A15" s="17">
        <v>2003</v>
      </c>
      <c r="B15" s="18">
        <v>184</v>
      </c>
    </row>
    <row r="16" spans="1:2" x14ac:dyDescent="0.2">
      <c r="A16" s="17">
        <v>2004</v>
      </c>
      <c r="B16" s="18">
        <v>188.9</v>
      </c>
    </row>
    <row r="17" spans="1:2" x14ac:dyDescent="0.2">
      <c r="A17" s="17">
        <v>2005</v>
      </c>
      <c r="B17" s="18">
        <v>195.3</v>
      </c>
    </row>
    <row r="18" spans="1:2" x14ac:dyDescent="0.2">
      <c r="A18" s="17">
        <v>2006</v>
      </c>
      <c r="B18" s="18">
        <v>201.6</v>
      </c>
    </row>
    <row r="19" spans="1:2" x14ac:dyDescent="0.2">
      <c r="A19" s="17">
        <v>2007</v>
      </c>
      <c r="B19" s="18">
        <v>207.34200000000001</v>
      </c>
    </row>
    <row r="20" spans="1:2" x14ac:dyDescent="0.2">
      <c r="A20" s="17">
        <v>2008</v>
      </c>
      <c r="B20" s="18">
        <v>215.303</v>
      </c>
    </row>
    <row r="21" spans="1:2" x14ac:dyDescent="0.2">
      <c r="A21" s="17">
        <v>2009</v>
      </c>
      <c r="B21" s="18">
        <v>214.53700000000001</v>
      </c>
    </row>
    <row r="22" spans="1:2" x14ac:dyDescent="0.2">
      <c r="A22" s="17">
        <v>2010</v>
      </c>
      <c r="B22" s="18">
        <v>218.05600000000001</v>
      </c>
    </row>
    <row r="23" spans="1:2" x14ac:dyDescent="0.2">
      <c r="A23" s="17">
        <v>2011</v>
      </c>
      <c r="B23" s="18">
        <v>224.93899999999999</v>
      </c>
    </row>
    <row r="24" spans="1:2" x14ac:dyDescent="0.2">
      <c r="A24" s="17">
        <v>2012</v>
      </c>
      <c r="B24" s="18">
        <v>229.59399999999999</v>
      </c>
    </row>
    <row r="25" spans="1:2" x14ac:dyDescent="0.2">
      <c r="A25" s="19">
        <v>2013</v>
      </c>
      <c r="B25" s="20">
        <v>232.95699999999999</v>
      </c>
    </row>
    <row r="26" spans="1:2" x14ac:dyDescent="0.2">
      <c r="A26" s="19">
        <v>2014</v>
      </c>
      <c r="B26" s="20">
        <v>236.73599999999999</v>
      </c>
    </row>
    <row r="27" spans="1:2" x14ac:dyDescent="0.2">
      <c r="A27" s="19">
        <v>2015</v>
      </c>
      <c r="B27" s="20">
        <v>237.017</v>
      </c>
    </row>
    <row r="28" spans="1:2" ht="13.5" thickBot="1" x14ac:dyDescent="0.25">
      <c r="A28" s="21">
        <v>2016</v>
      </c>
      <c r="B28" s="22">
        <v>242.839</v>
      </c>
    </row>
    <row r="29" spans="1:2" ht="10.5" customHeight="1" x14ac:dyDescent="0.2">
      <c r="A29" s="1" t="s">
        <v>133</v>
      </c>
    </row>
    <row r="30" spans="1:2" ht="29.25" customHeight="1" x14ac:dyDescent="0.2">
      <c r="A30" s="662"/>
      <c r="B30" s="662"/>
    </row>
  </sheetData>
  <mergeCells count="2">
    <mergeCell ref="A30:B30"/>
    <mergeCell ref="A2:B2"/>
  </mergeCells>
  <pageMargins left="0.7" right="0.7" top="0.75" bottom="0.75" header="0.3" footer="0.3"/>
  <pageSetup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36" sqref="A1:F36"/>
    </sheetView>
  </sheetViews>
  <sheetFormatPr defaultRowHeight="12.75" x14ac:dyDescent="0.2"/>
  <cols>
    <col min="1" max="2" width="9.140625" style="84"/>
    <col min="3" max="16384" width="9.140625" style="1"/>
  </cols>
  <sheetData>
    <row r="1" spans="1:6" ht="12.75" customHeight="1" x14ac:dyDescent="0.2">
      <c r="A1" s="663" t="s">
        <v>44</v>
      </c>
      <c r="B1" s="664"/>
      <c r="C1" s="664"/>
      <c r="D1" s="664"/>
      <c r="E1" s="664"/>
      <c r="F1" s="665"/>
    </row>
    <row r="2" spans="1:6" s="85" customFormat="1" ht="25.5" x14ac:dyDescent="0.2">
      <c r="A2" s="24" t="s">
        <v>130</v>
      </c>
      <c r="B2" s="34" t="s">
        <v>2</v>
      </c>
      <c r="C2" s="25" t="s">
        <v>118</v>
      </c>
      <c r="D2" s="25" t="s">
        <v>119</v>
      </c>
      <c r="E2" s="25" t="s">
        <v>120</v>
      </c>
      <c r="F2" s="27" t="s">
        <v>121</v>
      </c>
    </row>
    <row r="3" spans="1:6" ht="14.25" x14ac:dyDescent="0.2">
      <c r="A3" s="30">
        <f>A4-1</f>
        <v>-3</v>
      </c>
      <c r="B3" s="82">
        <v>2016</v>
      </c>
      <c r="C3" s="72">
        <v>7377</v>
      </c>
      <c r="D3" s="72">
        <v>1872</v>
      </c>
      <c r="E3" s="72">
        <v>337459</v>
      </c>
      <c r="F3" s="73">
        <v>43600</v>
      </c>
    </row>
    <row r="4" spans="1:6" ht="14.25" x14ac:dyDescent="0.2">
      <c r="A4" s="30">
        <f>A5-1</f>
        <v>-2</v>
      </c>
      <c r="B4" s="82">
        <v>2017</v>
      </c>
      <c r="C4" s="72">
        <v>7377</v>
      </c>
      <c r="D4" s="72">
        <v>1872</v>
      </c>
      <c r="E4" s="72">
        <v>337459</v>
      </c>
      <c r="F4" s="73">
        <v>43600</v>
      </c>
    </row>
    <row r="5" spans="1:6" ht="14.25" x14ac:dyDescent="0.2">
      <c r="A5" s="30">
        <f>A6-1</f>
        <v>-1</v>
      </c>
      <c r="B5" s="82">
        <v>2018</v>
      </c>
      <c r="C5" s="72">
        <v>7377</v>
      </c>
      <c r="D5" s="72">
        <v>1872</v>
      </c>
      <c r="E5" s="72">
        <v>337459</v>
      </c>
      <c r="F5" s="73">
        <v>43600</v>
      </c>
    </row>
    <row r="6" spans="1:6" ht="14.25" x14ac:dyDescent="0.2">
      <c r="A6" s="30">
        <v>0</v>
      </c>
      <c r="B6" s="82">
        <v>2019</v>
      </c>
      <c r="C6" s="72">
        <v>7377</v>
      </c>
      <c r="D6" s="72">
        <v>1872</v>
      </c>
      <c r="E6" s="72">
        <v>337459</v>
      </c>
      <c r="F6" s="73">
        <v>43600</v>
      </c>
    </row>
    <row r="7" spans="1:6" ht="14.25" x14ac:dyDescent="0.2">
      <c r="A7" s="30">
        <f>A6+1</f>
        <v>1</v>
      </c>
      <c r="B7" s="82">
        <v>2020</v>
      </c>
      <c r="C7" s="72">
        <v>7377</v>
      </c>
      <c r="D7" s="72">
        <v>1872</v>
      </c>
      <c r="E7" s="72">
        <v>337459</v>
      </c>
      <c r="F7" s="73">
        <v>43600</v>
      </c>
    </row>
    <row r="8" spans="1:6" ht="14.25" x14ac:dyDescent="0.2">
      <c r="A8" s="30">
        <f t="shared" ref="A8:A36" si="0">A7+1</f>
        <v>2</v>
      </c>
      <c r="B8" s="82">
        <v>2021</v>
      </c>
      <c r="C8" s="72">
        <v>7377</v>
      </c>
      <c r="D8" s="72">
        <v>1872</v>
      </c>
      <c r="E8" s="72">
        <v>337459</v>
      </c>
      <c r="F8" s="73">
        <v>43600</v>
      </c>
    </row>
    <row r="9" spans="1:6" ht="14.25" x14ac:dyDescent="0.2">
      <c r="A9" s="30">
        <f t="shared" si="0"/>
        <v>3</v>
      </c>
      <c r="B9" s="82">
        <v>2022</v>
      </c>
      <c r="C9" s="72">
        <v>7377</v>
      </c>
      <c r="D9" s="72">
        <v>1872</v>
      </c>
      <c r="E9" s="72">
        <v>337459</v>
      </c>
      <c r="F9" s="73">
        <v>43600</v>
      </c>
    </row>
    <row r="10" spans="1:6" ht="14.25" x14ac:dyDescent="0.2">
      <c r="A10" s="30">
        <f t="shared" si="0"/>
        <v>4</v>
      </c>
      <c r="B10" s="82">
        <v>2023</v>
      </c>
      <c r="C10" s="72">
        <v>7377</v>
      </c>
      <c r="D10" s="72">
        <v>1872</v>
      </c>
      <c r="E10" s="72">
        <v>337459</v>
      </c>
      <c r="F10" s="73">
        <v>43600</v>
      </c>
    </row>
    <row r="11" spans="1:6" ht="14.25" x14ac:dyDescent="0.2">
      <c r="A11" s="30">
        <f t="shared" si="0"/>
        <v>5</v>
      </c>
      <c r="B11" s="82">
        <v>2024</v>
      </c>
      <c r="C11" s="72">
        <v>7377</v>
      </c>
      <c r="D11" s="72">
        <v>1872</v>
      </c>
      <c r="E11" s="72">
        <v>337459</v>
      </c>
      <c r="F11" s="73">
        <v>43600</v>
      </c>
    </row>
    <row r="12" spans="1:6" ht="14.25" x14ac:dyDescent="0.2">
      <c r="A12" s="30">
        <f t="shared" si="0"/>
        <v>6</v>
      </c>
      <c r="B12" s="82">
        <v>2025</v>
      </c>
      <c r="C12" s="72">
        <v>7377</v>
      </c>
      <c r="D12" s="72">
        <v>1872</v>
      </c>
      <c r="E12" s="72">
        <v>337459</v>
      </c>
      <c r="F12" s="73">
        <v>43600</v>
      </c>
    </row>
    <row r="13" spans="1:6" ht="14.25" x14ac:dyDescent="0.2">
      <c r="A13" s="30">
        <f t="shared" si="0"/>
        <v>7</v>
      </c>
      <c r="B13" s="82">
        <v>2026</v>
      </c>
      <c r="C13" s="72">
        <v>7377</v>
      </c>
      <c r="D13" s="72">
        <v>1872</v>
      </c>
      <c r="E13" s="72">
        <v>337459</v>
      </c>
      <c r="F13" s="73">
        <v>43600</v>
      </c>
    </row>
    <row r="14" spans="1:6" ht="14.25" x14ac:dyDescent="0.2">
      <c r="A14" s="30">
        <f t="shared" si="0"/>
        <v>8</v>
      </c>
      <c r="B14" s="82">
        <v>2027</v>
      </c>
      <c r="C14" s="72">
        <v>7377</v>
      </c>
      <c r="D14" s="72">
        <v>1872</v>
      </c>
      <c r="E14" s="72">
        <v>337459</v>
      </c>
      <c r="F14" s="73">
        <v>43600</v>
      </c>
    </row>
    <row r="15" spans="1:6" ht="14.25" x14ac:dyDescent="0.2">
      <c r="A15" s="30">
        <f t="shared" si="0"/>
        <v>9</v>
      </c>
      <c r="B15" s="82">
        <v>2028</v>
      </c>
      <c r="C15" s="72">
        <v>7377</v>
      </c>
      <c r="D15" s="72">
        <v>1872</v>
      </c>
      <c r="E15" s="72">
        <v>337459</v>
      </c>
      <c r="F15" s="73">
        <v>43600</v>
      </c>
    </row>
    <row r="16" spans="1:6" ht="14.25" x14ac:dyDescent="0.2">
      <c r="A16" s="30">
        <f t="shared" si="0"/>
        <v>10</v>
      </c>
      <c r="B16" s="82">
        <v>2029</v>
      </c>
      <c r="C16" s="72">
        <v>7377</v>
      </c>
      <c r="D16" s="72">
        <v>1872</v>
      </c>
      <c r="E16" s="72">
        <v>337459</v>
      </c>
      <c r="F16" s="73">
        <v>43600</v>
      </c>
    </row>
    <row r="17" spans="1:6" ht="14.25" x14ac:dyDescent="0.2">
      <c r="A17" s="30">
        <f t="shared" si="0"/>
        <v>11</v>
      </c>
      <c r="B17" s="82">
        <v>2030</v>
      </c>
      <c r="C17" s="72">
        <v>7377</v>
      </c>
      <c r="D17" s="72">
        <v>1872</v>
      </c>
      <c r="E17" s="72">
        <v>337459</v>
      </c>
      <c r="F17" s="73">
        <v>43600</v>
      </c>
    </row>
    <row r="18" spans="1:6" ht="14.25" x14ac:dyDescent="0.2">
      <c r="A18" s="30">
        <f t="shared" si="0"/>
        <v>12</v>
      </c>
      <c r="B18" s="82">
        <v>2031</v>
      </c>
      <c r="C18" s="72">
        <v>7377</v>
      </c>
      <c r="D18" s="72">
        <v>1872</v>
      </c>
      <c r="E18" s="72">
        <v>337459</v>
      </c>
      <c r="F18" s="73">
        <v>43600</v>
      </c>
    </row>
    <row r="19" spans="1:6" ht="14.25" x14ac:dyDescent="0.2">
      <c r="A19" s="30">
        <f t="shared" si="0"/>
        <v>13</v>
      </c>
      <c r="B19" s="82">
        <v>2032</v>
      </c>
      <c r="C19" s="72">
        <v>7377</v>
      </c>
      <c r="D19" s="72">
        <v>1872</v>
      </c>
      <c r="E19" s="72">
        <v>337459</v>
      </c>
      <c r="F19" s="73">
        <v>43600</v>
      </c>
    </row>
    <row r="20" spans="1:6" ht="14.25" x14ac:dyDescent="0.2">
      <c r="A20" s="30">
        <f t="shared" si="0"/>
        <v>14</v>
      </c>
      <c r="B20" s="82">
        <v>2033</v>
      </c>
      <c r="C20" s="72">
        <v>7377</v>
      </c>
      <c r="D20" s="72">
        <v>1872</v>
      </c>
      <c r="E20" s="72">
        <v>337459</v>
      </c>
      <c r="F20" s="73">
        <v>43600</v>
      </c>
    </row>
    <row r="21" spans="1:6" ht="14.25" x14ac:dyDescent="0.2">
      <c r="A21" s="30">
        <f t="shared" si="0"/>
        <v>15</v>
      </c>
      <c r="B21" s="82">
        <v>2034</v>
      </c>
      <c r="C21" s="72">
        <v>7377</v>
      </c>
      <c r="D21" s="72">
        <v>1872</v>
      </c>
      <c r="E21" s="72">
        <v>337459</v>
      </c>
      <c r="F21" s="73">
        <v>43600</v>
      </c>
    </row>
    <row r="22" spans="1:6" ht="14.25" x14ac:dyDescent="0.2">
      <c r="A22" s="30">
        <f t="shared" si="0"/>
        <v>16</v>
      </c>
      <c r="B22" s="82">
        <v>2035</v>
      </c>
      <c r="C22" s="72">
        <v>7377</v>
      </c>
      <c r="D22" s="72">
        <v>1872</v>
      </c>
      <c r="E22" s="72">
        <v>337459</v>
      </c>
      <c r="F22" s="73">
        <v>43600</v>
      </c>
    </row>
    <row r="23" spans="1:6" ht="14.25" x14ac:dyDescent="0.2">
      <c r="A23" s="30">
        <f t="shared" si="0"/>
        <v>17</v>
      </c>
      <c r="B23" s="82">
        <v>2036</v>
      </c>
      <c r="C23" s="72">
        <v>7377</v>
      </c>
      <c r="D23" s="72">
        <v>1872</v>
      </c>
      <c r="E23" s="72">
        <v>337459</v>
      </c>
      <c r="F23" s="73">
        <v>43600</v>
      </c>
    </row>
    <row r="24" spans="1:6" ht="14.25" x14ac:dyDescent="0.2">
      <c r="A24" s="30">
        <f t="shared" si="0"/>
        <v>18</v>
      </c>
      <c r="B24" s="82">
        <v>2037</v>
      </c>
      <c r="C24" s="72">
        <v>7377</v>
      </c>
      <c r="D24" s="72">
        <v>1872</v>
      </c>
      <c r="E24" s="72">
        <v>337459</v>
      </c>
      <c r="F24" s="73">
        <v>43600</v>
      </c>
    </row>
    <row r="25" spans="1:6" ht="14.25" x14ac:dyDescent="0.2">
      <c r="A25" s="30">
        <f t="shared" si="0"/>
        <v>19</v>
      </c>
      <c r="B25" s="82">
        <v>2038</v>
      </c>
      <c r="C25" s="72">
        <v>7377</v>
      </c>
      <c r="D25" s="72">
        <v>1872</v>
      </c>
      <c r="E25" s="72">
        <v>337459</v>
      </c>
      <c r="F25" s="73">
        <v>43600</v>
      </c>
    </row>
    <row r="26" spans="1:6" x14ac:dyDescent="0.2">
      <c r="A26" s="30">
        <f t="shared" si="0"/>
        <v>20</v>
      </c>
      <c r="B26" s="83">
        <v>2039</v>
      </c>
      <c r="C26" s="72">
        <v>7377</v>
      </c>
      <c r="D26" s="72">
        <v>1872</v>
      </c>
      <c r="E26" s="72">
        <v>337459</v>
      </c>
      <c r="F26" s="73">
        <v>43600</v>
      </c>
    </row>
    <row r="27" spans="1:6" x14ac:dyDescent="0.2">
      <c r="A27" s="30">
        <f t="shared" si="0"/>
        <v>21</v>
      </c>
      <c r="B27" s="83">
        <v>2040</v>
      </c>
      <c r="C27" s="72">
        <v>7377</v>
      </c>
      <c r="D27" s="72">
        <v>1872</v>
      </c>
      <c r="E27" s="72">
        <v>337459</v>
      </c>
      <c r="F27" s="73">
        <v>43600</v>
      </c>
    </row>
    <row r="28" spans="1:6" x14ac:dyDescent="0.2">
      <c r="A28" s="30">
        <f t="shared" si="0"/>
        <v>22</v>
      </c>
      <c r="B28" s="83">
        <v>2041</v>
      </c>
      <c r="C28" s="72">
        <v>7377</v>
      </c>
      <c r="D28" s="72">
        <v>1872</v>
      </c>
      <c r="E28" s="72">
        <v>337459</v>
      </c>
      <c r="F28" s="73">
        <v>43600</v>
      </c>
    </row>
    <row r="29" spans="1:6" x14ac:dyDescent="0.2">
      <c r="A29" s="30">
        <f t="shared" si="0"/>
        <v>23</v>
      </c>
      <c r="B29" s="83">
        <v>2042</v>
      </c>
      <c r="C29" s="72">
        <v>7377</v>
      </c>
      <c r="D29" s="72">
        <v>1872</v>
      </c>
      <c r="E29" s="72">
        <v>337459</v>
      </c>
      <c r="F29" s="73">
        <v>43600</v>
      </c>
    </row>
    <row r="30" spans="1:6" x14ac:dyDescent="0.2">
      <c r="A30" s="30">
        <f t="shared" si="0"/>
        <v>24</v>
      </c>
      <c r="B30" s="83">
        <v>2043</v>
      </c>
      <c r="C30" s="72">
        <v>7377</v>
      </c>
      <c r="D30" s="72">
        <v>1872</v>
      </c>
      <c r="E30" s="72">
        <v>337459</v>
      </c>
      <c r="F30" s="73">
        <v>43600</v>
      </c>
    </row>
    <row r="31" spans="1:6" x14ac:dyDescent="0.2">
      <c r="A31" s="30">
        <f t="shared" si="0"/>
        <v>25</v>
      </c>
      <c r="B31" s="83">
        <v>2044</v>
      </c>
      <c r="C31" s="72">
        <v>7377</v>
      </c>
      <c r="D31" s="72">
        <v>1872</v>
      </c>
      <c r="E31" s="72">
        <v>337459</v>
      </c>
      <c r="F31" s="73">
        <v>43600</v>
      </c>
    </row>
    <row r="32" spans="1:6" x14ac:dyDescent="0.2">
      <c r="A32" s="30">
        <f t="shared" si="0"/>
        <v>26</v>
      </c>
      <c r="B32" s="83">
        <v>2045</v>
      </c>
      <c r="C32" s="72">
        <v>7377</v>
      </c>
      <c r="D32" s="72">
        <v>1872</v>
      </c>
      <c r="E32" s="72">
        <v>337459</v>
      </c>
      <c r="F32" s="73">
        <v>43600</v>
      </c>
    </row>
    <row r="33" spans="1:6" x14ac:dyDescent="0.2">
      <c r="A33" s="30">
        <f t="shared" si="0"/>
        <v>27</v>
      </c>
      <c r="B33" s="83">
        <v>2046</v>
      </c>
      <c r="C33" s="72">
        <v>7377</v>
      </c>
      <c r="D33" s="72">
        <v>1872</v>
      </c>
      <c r="E33" s="72">
        <v>337459</v>
      </c>
      <c r="F33" s="73">
        <v>43600</v>
      </c>
    </row>
    <row r="34" spans="1:6" x14ac:dyDescent="0.2">
      <c r="A34" s="30">
        <f t="shared" si="0"/>
        <v>28</v>
      </c>
      <c r="B34" s="83">
        <v>2047</v>
      </c>
      <c r="C34" s="72">
        <v>7377</v>
      </c>
      <c r="D34" s="72">
        <v>1872</v>
      </c>
      <c r="E34" s="72">
        <v>337459</v>
      </c>
      <c r="F34" s="73">
        <v>43600</v>
      </c>
    </row>
    <row r="35" spans="1:6" x14ac:dyDescent="0.2">
      <c r="A35" s="30">
        <f t="shared" si="0"/>
        <v>29</v>
      </c>
      <c r="B35" s="83">
        <v>2048</v>
      </c>
      <c r="C35" s="72">
        <v>7377</v>
      </c>
      <c r="D35" s="72">
        <v>1872</v>
      </c>
      <c r="E35" s="72">
        <v>337459</v>
      </c>
      <c r="F35" s="73">
        <v>43600</v>
      </c>
    </row>
    <row r="36" spans="1:6" x14ac:dyDescent="0.2">
      <c r="A36" s="30">
        <f t="shared" si="0"/>
        <v>30</v>
      </c>
      <c r="B36" s="83">
        <f>B35+1</f>
        <v>2049</v>
      </c>
      <c r="C36" s="72">
        <v>7377</v>
      </c>
      <c r="D36" s="72">
        <v>1872</v>
      </c>
      <c r="E36" s="72">
        <v>337459</v>
      </c>
      <c r="F36" s="73">
        <v>43600</v>
      </c>
    </row>
  </sheetData>
  <mergeCells count="1">
    <mergeCell ref="A1:F1"/>
  </mergeCells>
  <pageMargins left="0.7" right="0.7" top="0.75" bottom="0.75" header="0.3" footer="0.3"/>
  <pageSetup orientation="portrait" horizontalDpi="300" verticalDpi="0"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zoomScale="85" zoomScaleNormal="85" workbookViewId="0">
      <selection sqref="A1:P1"/>
    </sheetView>
  </sheetViews>
  <sheetFormatPr defaultRowHeight="12.75" x14ac:dyDescent="0.2"/>
  <cols>
    <col min="1" max="9" width="9.140625" style="1"/>
    <col min="10" max="17" width="15.7109375" style="1" customWidth="1"/>
    <col min="18" max="16384" width="9.140625" style="1"/>
  </cols>
  <sheetData>
    <row r="1" spans="1:19" ht="22.5" x14ac:dyDescent="0.3">
      <c r="A1" s="671" t="s">
        <v>336</v>
      </c>
      <c r="B1" s="672"/>
      <c r="C1" s="672"/>
      <c r="D1" s="672"/>
      <c r="E1" s="672"/>
      <c r="F1" s="672"/>
      <c r="G1" s="672"/>
      <c r="H1" s="672"/>
      <c r="I1" s="672"/>
      <c r="J1" s="672"/>
      <c r="K1" s="672"/>
      <c r="L1" s="672"/>
      <c r="M1" s="672"/>
      <c r="N1" s="672"/>
      <c r="O1" s="672"/>
      <c r="P1" s="672"/>
      <c r="Q1" s="488"/>
    </row>
    <row r="2" spans="1:19" ht="14.25" x14ac:dyDescent="0.2">
      <c r="A2" s="673"/>
      <c r="B2" s="674"/>
      <c r="C2" s="674"/>
      <c r="D2" s="674"/>
      <c r="E2" s="674"/>
      <c r="F2" s="674"/>
      <c r="G2" s="674"/>
      <c r="H2" s="674"/>
      <c r="I2" s="674"/>
      <c r="J2" s="670" t="s">
        <v>337</v>
      </c>
      <c r="K2" s="670"/>
      <c r="L2" s="670"/>
      <c r="M2" s="670"/>
      <c r="N2" s="670"/>
      <c r="O2" s="670"/>
      <c r="P2" s="670"/>
      <c r="Q2" s="489"/>
    </row>
    <row r="3" spans="1:19" ht="57" x14ac:dyDescent="0.2">
      <c r="A3" s="673"/>
      <c r="B3" s="674"/>
      <c r="C3" s="674"/>
      <c r="D3" s="674"/>
      <c r="E3" s="674"/>
      <c r="F3" s="674"/>
      <c r="G3" s="674"/>
      <c r="H3" s="674"/>
      <c r="I3" s="674"/>
      <c r="J3" s="481" t="s">
        <v>350</v>
      </c>
      <c r="K3" s="481" t="s">
        <v>351</v>
      </c>
      <c r="L3" s="481" t="s">
        <v>338</v>
      </c>
      <c r="M3" s="481" t="s">
        <v>339</v>
      </c>
      <c r="N3" s="481" t="s">
        <v>340</v>
      </c>
      <c r="O3" s="481" t="s">
        <v>341</v>
      </c>
      <c r="P3" s="668"/>
      <c r="Q3" s="669"/>
    </row>
    <row r="4" spans="1:19" ht="14.25" x14ac:dyDescent="0.2">
      <c r="A4" s="673"/>
      <c r="B4" s="674"/>
      <c r="C4" s="674"/>
      <c r="D4" s="674"/>
      <c r="E4" s="674"/>
      <c r="F4" s="674"/>
      <c r="G4" s="674"/>
      <c r="H4" s="674"/>
      <c r="I4" s="674"/>
      <c r="J4" s="482">
        <v>76923</v>
      </c>
      <c r="K4" s="482">
        <v>76923</v>
      </c>
      <c r="L4" s="482">
        <v>55000</v>
      </c>
      <c r="M4" s="482">
        <v>65000</v>
      </c>
      <c r="N4" s="482">
        <v>80000</v>
      </c>
      <c r="O4" s="482">
        <v>70000</v>
      </c>
      <c r="P4" s="668"/>
      <c r="Q4" s="669"/>
    </row>
    <row r="5" spans="1:19" ht="14.25" x14ac:dyDescent="0.2">
      <c r="A5" s="675"/>
      <c r="B5" s="670"/>
      <c r="C5" s="670" t="s">
        <v>342</v>
      </c>
      <c r="D5" s="670"/>
      <c r="E5" s="670"/>
      <c r="F5" s="670"/>
      <c r="G5" s="670"/>
      <c r="H5" s="670"/>
      <c r="I5" s="670"/>
      <c r="J5" s="670" t="s">
        <v>343</v>
      </c>
      <c r="K5" s="670"/>
      <c r="L5" s="670"/>
      <c r="M5" s="670"/>
      <c r="N5" s="670"/>
      <c r="O5" s="670"/>
      <c r="P5" s="490"/>
      <c r="Q5" s="491"/>
    </row>
    <row r="6" spans="1:19" ht="57" x14ac:dyDescent="0.2">
      <c r="A6" s="483" t="s">
        <v>344</v>
      </c>
      <c r="B6" s="484" t="s">
        <v>345</v>
      </c>
      <c r="C6" s="481" t="s">
        <v>348</v>
      </c>
      <c r="D6" s="481" t="s">
        <v>349</v>
      </c>
      <c r="E6" s="481" t="s">
        <v>338</v>
      </c>
      <c r="F6" s="481" t="s">
        <v>339</v>
      </c>
      <c r="G6" s="481" t="s">
        <v>340</v>
      </c>
      <c r="H6" s="481" t="s">
        <v>341</v>
      </c>
      <c r="I6" s="481" t="s">
        <v>0</v>
      </c>
      <c r="J6" s="481" t="s">
        <v>348</v>
      </c>
      <c r="K6" s="481" t="s">
        <v>349</v>
      </c>
      <c r="L6" s="481" t="s">
        <v>338</v>
      </c>
      <c r="M6" s="481" t="s">
        <v>339</v>
      </c>
      <c r="N6" s="481" t="s">
        <v>340</v>
      </c>
      <c r="O6" s="481" t="s">
        <v>341</v>
      </c>
      <c r="P6" s="485" t="s">
        <v>346</v>
      </c>
      <c r="Q6" s="486" t="s">
        <v>347</v>
      </c>
    </row>
    <row r="7" spans="1:19" x14ac:dyDescent="0.2">
      <c r="A7" s="293">
        <f>A8-1</f>
        <v>-2</v>
      </c>
      <c r="B7" s="487">
        <v>2017</v>
      </c>
      <c r="C7" s="57">
        <f>SUM('T28 JobYears Created'!B4:E4)</f>
        <v>7</v>
      </c>
      <c r="D7" s="57">
        <f>SUM('T28 JobYears Created'!B5:E5)</f>
        <v>4</v>
      </c>
      <c r="E7" s="4">
        <v>0</v>
      </c>
      <c r="F7" s="4">
        <v>0</v>
      </c>
      <c r="G7" s="4">
        <v>0</v>
      </c>
      <c r="H7" s="4">
        <v>0</v>
      </c>
      <c r="I7" s="57">
        <f>SUM(C7:H7)</f>
        <v>11</v>
      </c>
      <c r="J7" s="28">
        <f t="shared" ref="J7:K22" si="0">C7*$L$4</f>
        <v>385000</v>
      </c>
      <c r="K7" s="28">
        <f t="shared" si="0"/>
        <v>220000</v>
      </c>
      <c r="L7" s="492">
        <f t="shared" ref="L7:L39" si="1">E7*$L$4</f>
        <v>0</v>
      </c>
      <c r="M7" s="492">
        <f t="shared" ref="M7:M39" si="2">F7*$M$4</f>
        <v>0</v>
      </c>
      <c r="N7" s="492">
        <f t="shared" ref="N7:N39" si="3">$N$4*G7</f>
        <v>0</v>
      </c>
      <c r="O7" s="492">
        <f t="shared" ref="O7:O39" si="4">$O$4*H7</f>
        <v>0</v>
      </c>
      <c r="P7" s="493">
        <f>SUM(J7:O7)</f>
        <v>605000</v>
      </c>
      <c r="Q7" s="494">
        <f>P7/((1+'T3 Inputs'!$B$4)^(B7-2016))</f>
        <v>565420.56074766349</v>
      </c>
      <c r="S7" s="81">
        <f>SUM(C7:H39)</f>
        <v>954</v>
      </c>
    </row>
    <row r="8" spans="1:19" x14ac:dyDescent="0.2">
      <c r="A8" s="293">
        <f>A9-1</f>
        <v>-1</v>
      </c>
      <c r="B8" s="487">
        <f t="shared" ref="B8:B39" si="5">B7+1</f>
        <v>2018</v>
      </c>
      <c r="C8" s="4">
        <f>SUM('T28 JobYears Created'!F4:I4)</f>
        <v>92</v>
      </c>
      <c r="D8" s="4">
        <f>SUM('T28 JobYears Created'!F5:I5)</f>
        <v>50</v>
      </c>
      <c r="E8" s="4">
        <v>0</v>
      </c>
      <c r="F8" s="4">
        <v>0</v>
      </c>
      <c r="G8" s="4">
        <v>0</v>
      </c>
      <c r="H8" s="4">
        <v>0</v>
      </c>
      <c r="I8" s="4">
        <f t="shared" ref="I8:I39" si="6">SUM(C8:H8)</f>
        <v>142</v>
      </c>
      <c r="J8" s="28">
        <f t="shared" si="0"/>
        <v>5060000</v>
      </c>
      <c r="K8" s="28">
        <f t="shared" si="0"/>
        <v>2750000</v>
      </c>
      <c r="L8" s="492">
        <f t="shared" si="1"/>
        <v>0</v>
      </c>
      <c r="M8" s="492">
        <f t="shared" si="2"/>
        <v>0</v>
      </c>
      <c r="N8" s="492">
        <f t="shared" si="3"/>
        <v>0</v>
      </c>
      <c r="O8" s="492">
        <f t="shared" si="4"/>
        <v>0</v>
      </c>
      <c r="P8" s="493">
        <f t="shared" ref="P8:P39" si="7">SUM(J8:O8)</f>
        <v>7810000</v>
      </c>
      <c r="Q8" s="494">
        <f>P8/((1+'T3 Inputs'!$B$4)^(B8-2016))</f>
        <v>6821556.4678137824</v>
      </c>
    </row>
    <row r="9" spans="1:19" x14ac:dyDescent="0.2">
      <c r="A9" s="293">
        <v>0</v>
      </c>
      <c r="B9" s="487">
        <f t="shared" si="5"/>
        <v>2019</v>
      </c>
      <c r="C9" s="4">
        <f>SUM('T28 JobYears Created'!J4:M4)</f>
        <v>215</v>
      </c>
      <c r="D9" s="4">
        <f>SUM('T28 JobYears Created'!J5:M5)</f>
        <v>121</v>
      </c>
      <c r="E9" s="4">
        <v>5</v>
      </c>
      <c r="F9" s="4">
        <v>5</v>
      </c>
      <c r="G9" s="4">
        <v>2</v>
      </c>
      <c r="H9" s="4">
        <v>3</v>
      </c>
      <c r="I9" s="4">
        <f t="shared" si="6"/>
        <v>351</v>
      </c>
      <c r="J9" s="28">
        <f t="shared" si="0"/>
        <v>11825000</v>
      </c>
      <c r="K9" s="28">
        <f t="shared" si="0"/>
        <v>6655000</v>
      </c>
      <c r="L9" s="492">
        <f t="shared" si="1"/>
        <v>275000</v>
      </c>
      <c r="M9" s="492">
        <f t="shared" si="2"/>
        <v>325000</v>
      </c>
      <c r="N9" s="492">
        <f t="shared" si="3"/>
        <v>160000</v>
      </c>
      <c r="O9" s="492">
        <f t="shared" si="4"/>
        <v>210000</v>
      </c>
      <c r="P9" s="493">
        <f t="shared" si="7"/>
        <v>19450000</v>
      </c>
      <c r="Q9" s="494">
        <f>P9/((1+'T3 Inputs'!$B$4)^(B9-2016))</f>
        <v>15876993.705527069</v>
      </c>
    </row>
    <row r="10" spans="1:19" x14ac:dyDescent="0.2">
      <c r="A10" s="293">
        <f>A9+1</f>
        <v>1</v>
      </c>
      <c r="B10" s="487">
        <f t="shared" si="5"/>
        <v>2020</v>
      </c>
      <c r="C10" s="4">
        <v>0</v>
      </c>
      <c r="D10" s="4">
        <v>0</v>
      </c>
      <c r="E10" s="4">
        <v>5</v>
      </c>
      <c r="F10" s="4">
        <v>5</v>
      </c>
      <c r="G10" s="4">
        <v>2</v>
      </c>
      <c r="H10" s="4">
        <v>3</v>
      </c>
      <c r="I10" s="4">
        <f t="shared" si="6"/>
        <v>15</v>
      </c>
      <c r="J10" s="28">
        <f t="shared" si="0"/>
        <v>0</v>
      </c>
      <c r="K10" s="28">
        <f t="shared" si="0"/>
        <v>0</v>
      </c>
      <c r="L10" s="492">
        <f t="shared" si="1"/>
        <v>275000</v>
      </c>
      <c r="M10" s="492">
        <f t="shared" si="2"/>
        <v>325000</v>
      </c>
      <c r="N10" s="492">
        <f t="shared" si="3"/>
        <v>160000</v>
      </c>
      <c r="O10" s="492">
        <f t="shared" si="4"/>
        <v>210000</v>
      </c>
      <c r="P10" s="493">
        <f t="shared" si="7"/>
        <v>970000</v>
      </c>
      <c r="Q10" s="494">
        <f>P10/((1+'T3 Inputs'!$B$4)^(B10-2016))</f>
        <v>740008.3556860995</v>
      </c>
    </row>
    <row r="11" spans="1:19" x14ac:dyDescent="0.2">
      <c r="A11" s="293">
        <f t="shared" ref="A11:A39" si="8">A10+1</f>
        <v>2</v>
      </c>
      <c r="B11" s="487">
        <f t="shared" si="5"/>
        <v>2021</v>
      </c>
      <c r="C11" s="4">
        <v>0</v>
      </c>
      <c r="D11" s="4">
        <v>0</v>
      </c>
      <c r="E11" s="4">
        <v>5</v>
      </c>
      <c r="F11" s="4">
        <v>5</v>
      </c>
      <c r="G11" s="4">
        <v>2</v>
      </c>
      <c r="H11" s="4">
        <v>3</v>
      </c>
      <c r="I11" s="4">
        <f t="shared" si="6"/>
        <v>15</v>
      </c>
      <c r="J11" s="28">
        <f t="shared" si="0"/>
        <v>0</v>
      </c>
      <c r="K11" s="28">
        <f t="shared" si="0"/>
        <v>0</v>
      </c>
      <c r="L11" s="492">
        <f t="shared" si="1"/>
        <v>275000</v>
      </c>
      <c r="M11" s="492">
        <f t="shared" si="2"/>
        <v>325000</v>
      </c>
      <c r="N11" s="492">
        <f t="shared" si="3"/>
        <v>160000</v>
      </c>
      <c r="O11" s="492">
        <f t="shared" si="4"/>
        <v>210000</v>
      </c>
      <c r="P11" s="493">
        <f t="shared" si="7"/>
        <v>970000</v>
      </c>
      <c r="Q11" s="494">
        <f>P11/((1+'T3 Inputs'!$B$4)^(B11-2016))</f>
        <v>691596.5940991583</v>
      </c>
    </row>
    <row r="12" spans="1:19" x14ac:dyDescent="0.2">
      <c r="A12" s="293">
        <f t="shared" si="8"/>
        <v>3</v>
      </c>
      <c r="B12" s="487">
        <f t="shared" si="5"/>
        <v>2022</v>
      </c>
      <c r="C12" s="4">
        <v>0</v>
      </c>
      <c r="D12" s="4">
        <v>0</v>
      </c>
      <c r="E12" s="4">
        <v>5</v>
      </c>
      <c r="F12" s="4">
        <v>5</v>
      </c>
      <c r="G12" s="4">
        <v>2</v>
      </c>
      <c r="H12" s="4">
        <v>3</v>
      </c>
      <c r="I12" s="4">
        <f t="shared" si="6"/>
        <v>15</v>
      </c>
      <c r="J12" s="28">
        <f t="shared" si="0"/>
        <v>0</v>
      </c>
      <c r="K12" s="28">
        <f t="shared" si="0"/>
        <v>0</v>
      </c>
      <c r="L12" s="492">
        <f t="shared" si="1"/>
        <v>275000</v>
      </c>
      <c r="M12" s="492">
        <f t="shared" si="2"/>
        <v>325000</v>
      </c>
      <c r="N12" s="492">
        <f t="shared" si="3"/>
        <v>160000</v>
      </c>
      <c r="O12" s="492">
        <f t="shared" si="4"/>
        <v>210000</v>
      </c>
      <c r="P12" s="493">
        <f t="shared" si="7"/>
        <v>970000</v>
      </c>
      <c r="Q12" s="494">
        <f>P12/((1+'T3 Inputs'!$B$4)^(B12-2016))</f>
        <v>646351.95710201713</v>
      </c>
    </row>
    <row r="13" spans="1:19" x14ac:dyDescent="0.2">
      <c r="A13" s="293">
        <f t="shared" si="8"/>
        <v>4</v>
      </c>
      <c r="B13" s="487">
        <f t="shared" si="5"/>
        <v>2023</v>
      </c>
      <c r="C13" s="4">
        <v>0</v>
      </c>
      <c r="D13" s="4">
        <v>0</v>
      </c>
      <c r="E13" s="4">
        <v>5</v>
      </c>
      <c r="F13" s="4">
        <v>5</v>
      </c>
      <c r="G13" s="4">
        <v>2</v>
      </c>
      <c r="H13" s="4">
        <v>3</v>
      </c>
      <c r="I13" s="4">
        <f t="shared" si="6"/>
        <v>15</v>
      </c>
      <c r="J13" s="28">
        <f t="shared" si="0"/>
        <v>0</v>
      </c>
      <c r="K13" s="28">
        <f t="shared" si="0"/>
        <v>0</v>
      </c>
      <c r="L13" s="492">
        <f t="shared" si="1"/>
        <v>275000</v>
      </c>
      <c r="M13" s="492">
        <f t="shared" si="2"/>
        <v>325000</v>
      </c>
      <c r="N13" s="492">
        <f t="shared" si="3"/>
        <v>160000</v>
      </c>
      <c r="O13" s="492">
        <f t="shared" si="4"/>
        <v>210000</v>
      </c>
      <c r="P13" s="493">
        <f t="shared" si="7"/>
        <v>970000</v>
      </c>
      <c r="Q13" s="494">
        <f>P13/((1+'T3 Inputs'!$B$4)^(B13-2016))</f>
        <v>604067.2496280534</v>
      </c>
    </row>
    <row r="14" spans="1:19" x14ac:dyDescent="0.2">
      <c r="A14" s="293">
        <f t="shared" si="8"/>
        <v>5</v>
      </c>
      <c r="B14" s="487">
        <f t="shared" si="5"/>
        <v>2024</v>
      </c>
      <c r="C14" s="4">
        <v>0</v>
      </c>
      <c r="D14" s="4">
        <v>0</v>
      </c>
      <c r="E14" s="4">
        <v>5</v>
      </c>
      <c r="F14" s="4">
        <v>5</v>
      </c>
      <c r="G14" s="4">
        <v>2</v>
      </c>
      <c r="H14" s="4">
        <v>3</v>
      </c>
      <c r="I14" s="4">
        <f t="shared" si="6"/>
        <v>15</v>
      </c>
      <c r="J14" s="28">
        <f t="shared" si="0"/>
        <v>0</v>
      </c>
      <c r="K14" s="28">
        <f t="shared" si="0"/>
        <v>0</v>
      </c>
      <c r="L14" s="492">
        <f t="shared" si="1"/>
        <v>275000</v>
      </c>
      <c r="M14" s="492">
        <f t="shared" si="2"/>
        <v>325000</v>
      </c>
      <c r="N14" s="492">
        <f t="shared" si="3"/>
        <v>160000</v>
      </c>
      <c r="O14" s="492">
        <f t="shared" si="4"/>
        <v>210000</v>
      </c>
      <c r="P14" s="493">
        <f t="shared" si="7"/>
        <v>970000</v>
      </c>
      <c r="Q14" s="494">
        <f>P14/((1+'T3 Inputs'!$B$4)^(B14-2016))</f>
        <v>564548.83142808732</v>
      </c>
    </row>
    <row r="15" spans="1:19" x14ac:dyDescent="0.2">
      <c r="A15" s="293">
        <f t="shared" si="8"/>
        <v>6</v>
      </c>
      <c r="B15" s="487">
        <f t="shared" si="5"/>
        <v>2025</v>
      </c>
      <c r="C15" s="4">
        <v>0</v>
      </c>
      <c r="D15" s="4">
        <v>0</v>
      </c>
      <c r="E15" s="4">
        <v>5</v>
      </c>
      <c r="F15" s="4">
        <v>5</v>
      </c>
      <c r="G15" s="4">
        <v>2</v>
      </c>
      <c r="H15" s="4">
        <v>3</v>
      </c>
      <c r="I15" s="4">
        <f t="shared" si="6"/>
        <v>15</v>
      </c>
      <c r="J15" s="28">
        <f t="shared" si="0"/>
        <v>0</v>
      </c>
      <c r="K15" s="28">
        <f t="shared" si="0"/>
        <v>0</v>
      </c>
      <c r="L15" s="492">
        <f t="shared" si="1"/>
        <v>275000</v>
      </c>
      <c r="M15" s="492">
        <f t="shared" si="2"/>
        <v>325000</v>
      </c>
      <c r="N15" s="492">
        <f t="shared" si="3"/>
        <v>160000</v>
      </c>
      <c r="O15" s="492">
        <f t="shared" si="4"/>
        <v>210000</v>
      </c>
      <c r="P15" s="493">
        <f t="shared" si="7"/>
        <v>970000</v>
      </c>
      <c r="Q15" s="494">
        <f>P15/((1+'T3 Inputs'!$B$4)^(B15-2016))</f>
        <v>527615.73030662362</v>
      </c>
    </row>
    <row r="16" spans="1:19" x14ac:dyDescent="0.2">
      <c r="A16" s="293">
        <f t="shared" si="8"/>
        <v>7</v>
      </c>
      <c r="B16" s="487">
        <f t="shared" si="5"/>
        <v>2026</v>
      </c>
      <c r="C16" s="4">
        <v>0</v>
      </c>
      <c r="D16" s="4">
        <v>0</v>
      </c>
      <c r="E16" s="4">
        <v>5</v>
      </c>
      <c r="F16" s="4">
        <v>5</v>
      </c>
      <c r="G16" s="4">
        <v>2</v>
      </c>
      <c r="H16" s="4">
        <v>3</v>
      </c>
      <c r="I16" s="4">
        <f t="shared" si="6"/>
        <v>15</v>
      </c>
      <c r="J16" s="28">
        <f t="shared" si="0"/>
        <v>0</v>
      </c>
      <c r="K16" s="28">
        <f t="shared" si="0"/>
        <v>0</v>
      </c>
      <c r="L16" s="492">
        <f t="shared" si="1"/>
        <v>275000</v>
      </c>
      <c r="M16" s="492">
        <f t="shared" si="2"/>
        <v>325000</v>
      </c>
      <c r="N16" s="492">
        <f t="shared" si="3"/>
        <v>160000</v>
      </c>
      <c r="O16" s="492">
        <f t="shared" si="4"/>
        <v>210000</v>
      </c>
      <c r="P16" s="493">
        <f t="shared" si="7"/>
        <v>970000</v>
      </c>
      <c r="Q16" s="494">
        <f>P16/((1+'T3 Inputs'!$B$4)^(B16-2016))</f>
        <v>493098.81337067625</v>
      </c>
    </row>
    <row r="17" spans="1:17" x14ac:dyDescent="0.2">
      <c r="A17" s="293">
        <f t="shared" si="8"/>
        <v>8</v>
      </c>
      <c r="B17" s="487">
        <f t="shared" si="5"/>
        <v>2027</v>
      </c>
      <c r="C17" s="4">
        <v>0</v>
      </c>
      <c r="D17" s="4">
        <v>0</v>
      </c>
      <c r="E17" s="4">
        <v>5</v>
      </c>
      <c r="F17" s="4">
        <v>5</v>
      </c>
      <c r="G17" s="4">
        <v>2</v>
      </c>
      <c r="H17" s="4">
        <v>3</v>
      </c>
      <c r="I17" s="4">
        <f t="shared" si="6"/>
        <v>15</v>
      </c>
      <c r="J17" s="28">
        <f t="shared" si="0"/>
        <v>0</v>
      </c>
      <c r="K17" s="28">
        <f t="shared" si="0"/>
        <v>0</v>
      </c>
      <c r="L17" s="492">
        <f t="shared" si="1"/>
        <v>275000</v>
      </c>
      <c r="M17" s="492">
        <f t="shared" si="2"/>
        <v>325000</v>
      </c>
      <c r="N17" s="492">
        <f t="shared" si="3"/>
        <v>160000</v>
      </c>
      <c r="O17" s="492">
        <f t="shared" si="4"/>
        <v>210000</v>
      </c>
      <c r="P17" s="493">
        <f t="shared" si="7"/>
        <v>970000</v>
      </c>
      <c r="Q17" s="494">
        <f>P17/((1+'T3 Inputs'!$B$4)^(B17-2016))</f>
        <v>460840.01249595906</v>
      </c>
    </row>
    <row r="18" spans="1:17" x14ac:dyDescent="0.2">
      <c r="A18" s="293">
        <f t="shared" si="8"/>
        <v>9</v>
      </c>
      <c r="B18" s="487">
        <f t="shared" si="5"/>
        <v>2028</v>
      </c>
      <c r="C18" s="4">
        <v>0</v>
      </c>
      <c r="D18" s="4">
        <v>0</v>
      </c>
      <c r="E18" s="4">
        <v>5</v>
      </c>
      <c r="F18" s="4">
        <v>5</v>
      </c>
      <c r="G18" s="4">
        <v>2</v>
      </c>
      <c r="H18" s="4">
        <v>3</v>
      </c>
      <c r="I18" s="4">
        <f t="shared" si="6"/>
        <v>15</v>
      </c>
      <c r="J18" s="28">
        <f t="shared" si="0"/>
        <v>0</v>
      </c>
      <c r="K18" s="28">
        <f t="shared" si="0"/>
        <v>0</v>
      </c>
      <c r="L18" s="492">
        <f t="shared" si="1"/>
        <v>275000</v>
      </c>
      <c r="M18" s="492">
        <f t="shared" si="2"/>
        <v>325000</v>
      </c>
      <c r="N18" s="492">
        <f t="shared" si="3"/>
        <v>160000</v>
      </c>
      <c r="O18" s="492">
        <f t="shared" si="4"/>
        <v>210000</v>
      </c>
      <c r="P18" s="493">
        <f t="shared" si="7"/>
        <v>970000</v>
      </c>
      <c r="Q18" s="494">
        <f>P18/((1+'T3 Inputs'!$B$4)^(B18-2016))</f>
        <v>430691.60046351323</v>
      </c>
    </row>
    <row r="19" spans="1:17" x14ac:dyDescent="0.2">
      <c r="A19" s="293">
        <f t="shared" si="8"/>
        <v>10</v>
      </c>
      <c r="B19" s="487">
        <f t="shared" si="5"/>
        <v>2029</v>
      </c>
      <c r="C19" s="4">
        <v>0</v>
      </c>
      <c r="D19" s="4">
        <v>0</v>
      </c>
      <c r="E19" s="4">
        <v>5</v>
      </c>
      <c r="F19" s="4">
        <v>5</v>
      </c>
      <c r="G19" s="4">
        <v>2</v>
      </c>
      <c r="H19" s="4">
        <v>3</v>
      </c>
      <c r="I19" s="4">
        <f t="shared" si="6"/>
        <v>15</v>
      </c>
      <c r="J19" s="28">
        <f t="shared" si="0"/>
        <v>0</v>
      </c>
      <c r="K19" s="28">
        <f t="shared" si="0"/>
        <v>0</v>
      </c>
      <c r="L19" s="492">
        <f t="shared" si="1"/>
        <v>275000</v>
      </c>
      <c r="M19" s="492">
        <f t="shared" si="2"/>
        <v>325000</v>
      </c>
      <c r="N19" s="492">
        <f t="shared" si="3"/>
        <v>160000</v>
      </c>
      <c r="O19" s="492">
        <f t="shared" si="4"/>
        <v>210000</v>
      </c>
      <c r="P19" s="493">
        <f t="shared" si="7"/>
        <v>970000</v>
      </c>
      <c r="Q19" s="494">
        <f>P19/((1+'T3 Inputs'!$B$4)^(B19-2016))</f>
        <v>402515.51445188146</v>
      </c>
    </row>
    <row r="20" spans="1:17" x14ac:dyDescent="0.2">
      <c r="A20" s="293">
        <f t="shared" si="8"/>
        <v>11</v>
      </c>
      <c r="B20" s="487">
        <f t="shared" si="5"/>
        <v>2030</v>
      </c>
      <c r="C20" s="4">
        <v>0</v>
      </c>
      <c r="D20" s="4">
        <v>0</v>
      </c>
      <c r="E20" s="4">
        <v>5</v>
      </c>
      <c r="F20" s="4">
        <v>5</v>
      </c>
      <c r="G20" s="4">
        <v>2</v>
      </c>
      <c r="H20" s="4">
        <v>3</v>
      </c>
      <c r="I20" s="4">
        <f t="shared" si="6"/>
        <v>15</v>
      </c>
      <c r="J20" s="28">
        <f t="shared" si="0"/>
        <v>0</v>
      </c>
      <c r="K20" s="28">
        <f t="shared" si="0"/>
        <v>0</v>
      </c>
      <c r="L20" s="492">
        <f t="shared" si="1"/>
        <v>275000</v>
      </c>
      <c r="M20" s="492">
        <f t="shared" si="2"/>
        <v>325000</v>
      </c>
      <c r="N20" s="492">
        <f t="shared" si="3"/>
        <v>160000</v>
      </c>
      <c r="O20" s="492">
        <f t="shared" si="4"/>
        <v>210000</v>
      </c>
      <c r="P20" s="493">
        <f t="shared" si="7"/>
        <v>970000</v>
      </c>
      <c r="Q20" s="494">
        <f>P20/((1+'T3 Inputs'!$B$4)^(B20-2016))</f>
        <v>376182.72378680517</v>
      </c>
    </row>
    <row r="21" spans="1:17" x14ac:dyDescent="0.2">
      <c r="A21" s="293">
        <f t="shared" si="8"/>
        <v>12</v>
      </c>
      <c r="B21" s="487">
        <f t="shared" si="5"/>
        <v>2031</v>
      </c>
      <c r="C21" s="4">
        <v>0</v>
      </c>
      <c r="D21" s="4">
        <v>0</v>
      </c>
      <c r="E21" s="4">
        <v>5</v>
      </c>
      <c r="F21" s="4">
        <v>5</v>
      </c>
      <c r="G21" s="4">
        <v>2</v>
      </c>
      <c r="H21" s="4">
        <v>3</v>
      </c>
      <c r="I21" s="4">
        <f t="shared" si="6"/>
        <v>15</v>
      </c>
      <c r="J21" s="28">
        <f t="shared" si="0"/>
        <v>0</v>
      </c>
      <c r="K21" s="28">
        <f t="shared" si="0"/>
        <v>0</v>
      </c>
      <c r="L21" s="492">
        <f t="shared" si="1"/>
        <v>275000</v>
      </c>
      <c r="M21" s="492">
        <f t="shared" si="2"/>
        <v>325000</v>
      </c>
      <c r="N21" s="492">
        <f t="shared" si="3"/>
        <v>160000</v>
      </c>
      <c r="O21" s="492">
        <f t="shared" si="4"/>
        <v>210000</v>
      </c>
      <c r="P21" s="493">
        <f t="shared" si="7"/>
        <v>970000</v>
      </c>
      <c r="Q21" s="494">
        <f>P21/((1+'T3 Inputs'!$B$4)^(B21-2016))</f>
        <v>351572.6390530889</v>
      </c>
    </row>
    <row r="22" spans="1:17" x14ac:dyDescent="0.2">
      <c r="A22" s="293">
        <f t="shared" si="8"/>
        <v>13</v>
      </c>
      <c r="B22" s="487">
        <f t="shared" si="5"/>
        <v>2032</v>
      </c>
      <c r="C22" s="4">
        <v>0</v>
      </c>
      <c r="D22" s="4">
        <v>0</v>
      </c>
      <c r="E22" s="4">
        <v>5</v>
      </c>
      <c r="F22" s="4">
        <v>5</v>
      </c>
      <c r="G22" s="4">
        <v>2</v>
      </c>
      <c r="H22" s="4">
        <v>3</v>
      </c>
      <c r="I22" s="4">
        <f t="shared" si="6"/>
        <v>15</v>
      </c>
      <c r="J22" s="28">
        <f t="shared" si="0"/>
        <v>0</v>
      </c>
      <c r="K22" s="28">
        <f t="shared" si="0"/>
        <v>0</v>
      </c>
      <c r="L22" s="492">
        <f t="shared" si="1"/>
        <v>275000</v>
      </c>
      <c r="M22" s="492">
        <f t="shared" si="2"/>
        <v>325000</v>
      </c>
      <c r="N22" s="492">
        <f t="shared" si="3"/>
        <v>160000</v>
      </c>
      <c r="O22" s="492">
        <f t="shared" si="4"/>
        <v>210000</v>
      </c>
      <c r="P22" s="493">
        <f t="shared" si="7"/>
        <v>970000</v>
      </c>
      <c r="Q22" s="494">
        <f>P22/((1+'T3 Inputs'!$B$4)^(B22-2016))</f>
        <v>328572.55986269994</v>
      </c>
    </row>
    <row r="23" spans="1:17" x14ac:dyDescent="0.2">
      <c r="A23" s="293">
        <f t="shared" si="8"/>
        <v>14</v>
      </c>
      <c r="B23" s="487">
        <f t="shared" si="5"/>
        <v>2033</v>
      </c>
      <c r="C23" s="4">
        <v>0</v>
      </c>
      <c r="D23" s="4">
        <v>0</v>
      </c>
      <c r="E23" s="4">
        <v>5</v>
      </c>
      <c r="F23" s="4">
        <v>5</v>
      </c>
      <c r="G23" s="4">
        <v>2</v>
      </c>
      <c r="H23" s="4">
        <v>3</v>
      </c>
      <c r="I23" s="4">
        <f t="shared" si="6"/>
        <v>15</v>
      </c>
      <c r="J23" s="28">
        <f t="shared" ref="J23:K38" si="9">C23*$L$4</f>
        <v>0</v>
      </c>
      <c r="K23" s="28">
        <f t="shared" si="9"/>
        <v>0</v>
      </c>
      <c r="L23" s="492">
        <f t="shared" si="1"/>
        <v>275000</v>
      </c>
      <c r="M23" s="492">
        <f t="shared" si="2"/>
        <v>325000</v>
      </c>
      <c r="N23" s="492">
        <f t="shared" si="3"/>
        <v>160000</v>
      </c>
      <c r="O23" s="492">
        <f t="shared" si="4"/>
        <v>210000</v>
      </c>
      <c r="P23" s="493">
        <f t="shared" si="7"/>
        <v>970000</v>
      </c>
      <c r="Q23" s="494">
        <f>P23/((1+'T3 Inputs'!$B$4)^(B23-2016))</f>
        <v>307077.15875018685</v>
      </c>
    </row>
    <row r="24" spans="1:17" x14ac:dyDescent="0.2">
      <c r="A24" s="293">
        <f t="shared" si="8"/>
        <v>15</v>
      </c>
      <c r="B24" s="487">
        <f t="shared" si="5"/>
        <v>2034</v>
      </c>
      <c r="C24" s="4">
        <v>0</v>
      </c>
      <c r="D24" s="4">
        <v>0</v>
      </c>
      <c r="E24" s="4">
        <v>5</v>
      </c>
      <c r="F24" s="4">
        <v>5</v>
      </c>
      <c r="G24" s="4">
        <v>2</v>
      </c>
      <c r="H24" s="4">
        <v>3</v>
      </c>
      <c r="I24" s="4">
        <f t="shared" si="6"/>
        <v>15</v>
      </c>
      <c r="J24" s="28">
        <f t="shared" si="9"/>
        <v>0</v>
      </c>
      <c r="K24" s="28">
        <f t="shared" si="9"/>
        <v>0</v>
      </c>
      <c r="L24" s="492">
        <f t="shared" si="1"/>
        <v>275000</v>
      </c>
      <c r="M24" s="492">
        <f t="shared" si="2"/>
        <v>325000</v>
      </c>
      <c r="N24" s="492">
        <f t="shared" si="3"/>
        <v>160000</v>
      </c>
      <c r="O24" s="492">
        <f t="shared" si="4"/>
        <v>210000</v>
      </c>
      <c r="P24" s="493">
        <f t="shared" si="7"/>
        <v>970000</v>
      </c>
      <c r="Q24" s="494">
        <f>P24/((1+'T3 Inputs'!$B$4)^(B24-2016))</f>
        <v>286987.9988319503</v>
      </c>
    </row>
    <row r="25" spans="1:17" x14ac:dyDescent="0.2">
      <c r="A25" s="293">
        <f t="shared" si="8"/>
        <v>16</v>
      </c>
      <c r="B25" s="487">
        <f t="shared" si="5"/>
        <v>2035</v>
      </c>
      <c r="C25" s="4">
        <v>0</v>
      </c>
      <c r="D25" s="4">
        <v>0</v>
      </c>
      <c r="E25" s="4">
        <v>5</v>
      </c>
      <c r="F25" s="4">
        <v>5</v>
      </c>
      <c r="G25" s="4">
        <v>2</v>
      </c>
      <c r="H25" s="4">
        <v>3</v>
      </c>
      <c r="I25" s="4">
        <f t="shared" si="6"/>
        <v>15</v>
      </c>
      <c r="J25" s="28">
        <f t="shared" si="9"/>
        <v>0</v>
      </c>
      <c r="K25" s="28">
        <f t="shared" si="9"/>
        <v>0</v>
      </c>
      <c r="L25" s="492">
        <f t="shared" si="1"/>
        <v>275000</v>
      </c>
      <c r="M25" s="492">
        <f t="shared" si="2"/>
        <v>325000</v>
      </c>
      <c r="N25" s="492">
        <f t="shared" si="3"/>
        <v>160000</v>
      </c>
      <c r="O25" s="492">
        <f t="shared" si="4"/>
        <v>210000</v>
      </c>
      <c r="P25" s="493">
        <f t="shared" si="7"/>
        <v>970000</v>
      </c>
      <c r="Q25" s="494">
        <f>P25/((1+'T3 Inputs'!$B$4)^(B25-2016))</f>
        <v>268213.08302051428</v>
      </c>
    </row>
    <row r="26" spans="1:17" x14ac:dyDescent="0.2">
      <c r="A26" s="293">
        <f t="shared" si="8"/>
        <v>17</v>
      </c>
      <c r="B26" s="487">
        <f t="shared" si="5"/>
        <v>2036</v>
      </c>
      <c r="C26" s="4">
        <v>0</v>
      </c>
      <c r="D26" s="4">
        <v>0</v>
      </c>
      <c r="E26" s="4">
        <v>5</v>
      </c>
      <c r="F26" s="4">
        <v>5</v>
      </c>
      <c r="G26" s="4">
        <v>2</v>
      </c>
      <c r="H26" s="4">
        <v>3</v>
      </c>
      <c r="I26" s="4">
        <f t="shared" si="6"/>
        <v>15</v>
      </c>
      <c r="J26" s="28">
        <f t="shared" si="9"/>
        <v>0</v>
      </c>
      <c r="K26" s="28">
        <f t="shared" si="9"/>
        <v>0</v>
      </c>
      <c r="L26" s="492">
        <f t="shared" si="1"/>
        <v>275000</v>
      </c>
      <c r="M26" s="492">
        <f t="shared" si="2"/>
        <v>325000</v>
      </c>
      <c r="N26" s="492">
        <f t="shared" si="3"/>
        <v>160000</v>
      </c>
      <c r="O26" s="492">
        <f t="shared" si="4"/>
        <v>210000</v>
      </c>
      <c r="P26" s="493">
        <f t="shared" si="7"/>
        <v>970000</v>
      </c>
      <c r="Q26" s="494">
        <f>P26/((1+'T3 Inputs'!$B$4)^(B26-2016))</f>
        <v>250666.43272945264</v>
      </c>
    </row>
    <row r="27" spans="1:17" x14ac:dyDescent="0.2">
      <c r="A27" s="293">
        <f t="shared" si="8"/>
        <v>18</v>
      </c>
      <c r="B27" s="487">
        <f t="shared" si="5"/>
        <v>2037</v>
      </c>
      <c r="C27" s="4">
        <v>0</v>
      </c>
      <c r="D27" s="4">
        <v>0</v>
      </c>
      <c r="E27" s="4">
        <v>5</v>
      </c>
      <c r="F27" s="4">
        <v>5</v>
      </c>
      <c r="G27" s="4">
        <v>2</v>
      </c>
      <c r="H27" s="4">
        <v>3</v>
      </c>
      <c r="I27" s="4">
        <f t="shared" si="6"/>
        <v>15</v>
      </c>
      <c r="J27" s="28">
        <f t="shared" si="9"/>
        <v>0</v>
      </c>
      <c r="K27" s="28">
        <f t="shared" si="9"/>
        <v>0</v>
      </c>
      <c r="L27" s="492">
        <f t="shared" si="1"/>
        <v>275000</v>
      </c>
      <c r="M27" s="492">
        <f t="shared" si="2"/>
        <v>325000</v>
      </c>
      <c r="N27" s="492">
        <f t="shared" si="3"/>
        <v>160000</v>
      </c>
      <c r="O27" s="492">
        <f t="shared" si="4"/>
        <v>210000</v>
      </c>
      <c r="P27" s="493">
        <f t="shared" si="7"/>
        <v>970000</v>
      </c>
      <c r="Q27" s="494">
        <f>P27/((1+'T3 Inputs'!$B$4)^(B27-2016))</f>
        <v>234267.69413967535</v>
      </c>
    </row>
    <row r="28" spans="1:17" x14ac:dyDescent="0.2">
      <c r="A28" s="293">
        <f t="shared" si="8"/>
        <v>19</v>
      </c>
      <c r="B28" s="487">
        <f t="shared" si="5"/>
        <v>2038</v>
      </c>
      <c r="C28" s="4">
        <v>0</v>
      </c>
      <c r="D28" s="4">
        <v>0</v>
      </c>
      <c r="E28" s="4">
        <v>5</v>
      </c>
      <c r="F28" s="4">
        <v>5</v>
      </c>
      <c r="G28" s="4">
        <v>2</v>
      </c>
      <c r="H28" s="4">
        <v>3</v>
      </c>
      <c r="I28" s="4">
        <f t="shared" si="6"/>
        <v>15</v>
      </c>
      <c r="J28" s="28">
        <f t="shared" si="9"/>
        <v>0</v>
      </c>
      <c r="K28" s="28">
        <f t="shared" si="9"/>
        <v>0</v>
      </c>
      <c r="L28" s="492">
        <f t="shared" si="1"/>
        <v>275000</v>
      </c>
      <c r="M28" s="492">
        <f t="shared" si="2"/>
        <v>325000</v>
      </c>
      <c r="N28" s="492">
        <f t="shared" si="3"/>
        <v>160000</v>
      </c>
      <c r="O28" s="492">
        <f t="shared" si="4"/>
        <v>210000</v>
      </c>
      <c r="P28" s="493">
        <f t="shared" si="7"/>
        <v>970000</v>
      </c>
      <c r="Q28" s="494">
        <f>P28/((1+'T3 Inputs'!$B$4)^(B28-2016))</f>
        <v>218941.77022399567</v>
      </c>
    </row>
    <row r="29" spans="1:17" x14ac:dyDescent="0.2">
      <c r="A29" s="293">
        <f t="shared" si="8"/>
        <v>20</v>
      </c>
      <c r="B29" s="487">
        <f t="shared" si="5"/>
        <v>2039</v>
      </c>
      <c r="C29" s="4">
        <v>0</v>
      </c>
      <c r="D29" s="4">
        <v>0</v>
      </c>
      <c r="E29" s="4">
        <v>5</v>
      </c>
      <c r="F29" s="4">
        <v>5</v>
      </c>
      <c r="G29" s="4">
        <v>2</v>
      </c>
      <c r="H29" s="4">
        <v>3</v>
      </c>
      <c r="I29" s="4">
        <f t="shared" si="6"/>
        <v>15</v>
      </c>
      <c r="J29" s="28">
        <f t="shared" si="9"/>
        <v>0</v>
      </c>
      <c r="K29" s="28">
        <f t="shared" si="9"/>
        <v>0</v>
      </c>
      <c r="L29" s="492">
        <f t="shared" si="1"/>
        <v>275000</v>
      </c>
      <c r="M29" s="492">
        <f t="shared" si="2"/>
        <v>325000</v>
      </c>
      <c r="N29" s="492">
        <f t="shared" si="3"/>
        <v>160000</v>
      </c>
      <c r="O29" s="492">
        <f t="shared" si="4"/>
        <v>210000</v>
      </c>
      <c r="P29" s="493">
        <f t="shared" si="7"/>
        <v>970000</v>
      </c>
      <c r="Q29" s="494">
        <f>P29/((1+'T3 Inputs'!$B$4)^(B29-2016))</f>
        <v>204618.47684485576</v>
      </c>
    </row>
    <row r="30" spans="1:17" x14ac:dyDescent="0.2">
      <c r="A30" s="293">
        <f t="shared" si="8"/>
        <v>21</v>
      </c>
      <c r="B30" s="487">
        <f t="shared" si="5"/>
        <v>2040</v>
      </c>
      <c r="C30" s="4">
        <v>0</v>
      </c>
      <c r="D30" s="4">
        <v>0</v>
      </c>
      <c r="E30" s="4">
        <v>5</v>
      </c>
      <c r="F30" s="4">
        <v>5</v>
      </c>
      <c r="G30" s="4">
        <v>2</v>
      </c>
      <c r="H30" s="4">
        <v>3</v>
      </c>
      <c r="I30" s="4">
        <f t="shared" si="6"/>
        <v>15</v>
      </c>
      <c r="J30" s="28">
        <f t="shared" si="9"/>
        <v>0</v>
      </c>
      <c r="K30" s="28">
        <f t="shared" si="9"/>
        <v>0</v>
      </c>
      <c r="L30" s="492">
        <f t="shared" si="1"/>
        <v>275000</v>
      </c>
      <c r="M30" s="492">
        <f t="shared" si="2"/>
        <v>325000</v>
      </c>
      <c r="N30" s="492">
        <f t="shared" si="3"/>
        <v>160000</v>
      </c>
      <c r="O30" s="492">
        <f t="shared" si="4"/>
        <v>210000</v>
      </c>
      <c r="P30" s="493">
        <f t="shared" si="7"/>
        <v>970000</v>
      </c>
      <c r="Q30" s="494">
        <f>P30/((1+'T3 Inputs'!$B$4)^(B30-2016))</f>
        <v>191232.22135033246</v>
      </c>
    </row>
    <row r="31" spans="1:17" x14ac:dyDescent="0.2">
      <c r="A31" s="293">
        <f t="shared" si="8"/>
        <v>22</v>
      </c>
      <c r="B31" s="487">
        <f t="shared" si="5"/>
        <v>2041</v>
      </c>
      <c r="C31" s="4">
        <v>0</v>
      </c>
      <c r="D31" s="4">
        <v>0</v>
      </c>
      <c r="E31" s="4">
        <v>5</v>
      </c>
      <c r="F31" s="4">
        <v>5</v>
      </c>
      <c r="G31" s="4">
        <v>2</v>
      </c>
      <c r="H31" s="4">
        <v>3</v>
      </c>
      <c r="I31" s="4">
        <f t="shared" si="6"/>
        <v>15</v>
      </c>
      <c r="J31" s="28">
        <f t="shared" si="9"/>
        <v>0</v>
      </c>
      <c r="K31" s="28">
        <f t="shared" si="9"/>
        <v>0</v>
      </c>
      <c r="L31" s="492">
        <f t="shared" si="1"/>
        <v>275000</v>
      </c>
      <c r="M31" s="492">
        <f t="shared" si="2"/>
        <v>325000</v>
      </c>
      <c r="N31" s="492">
        <f t="shared" si="3"/>
        <v>160000</v>
      </c>
      <c r="O31" s="492">
        <f t="shared" si="4"/>
        <v>210000</v>
      </c>
      <c r="P31" s="493">
        <f t="shared" si="7"/>
        <v>970000</v>
      </c>
      <c r="Q31" s="494">
        <f>P31/((1+'T3 Inputs'!$B$4)^(B31-2016))</f>
        <v>178721.70219657238</v>
      </c>
    </row>
    <row r="32" spans="1:17" x14ac:dyDescent="0.2">
      <c r="A32" s="293">
        <f t="shared" si="8"/>
        <v>23</v>
      </c>
      <c r="B32" s="487">
        <f t="shared" si="5"/>
        <v>2042</v>
      </c>
      <c r="C32" s="4">
        <v>0</v>
      </c>
      <c r="D32" s="4">
        <v>0</v>
      </c>
      <c r="E32" s="4">
        <v>5</v>
      </c>
      <c r="F32" s="4">
        <v>5</v>
      </c>
      <c r="G32" s="4">
        <v>2</v>
      </c>
      <c r="H32" s="4">
        <v>3</v>
      </c>
      <c r="I32" s="4">
        <f t="shared" si="6"/>
        <v>15</v>
      </c>
      <c r="J32" s="28">
        <f t="shared" si="9"/>
        <v>0</v>
      </c>
      <c r="K32" s="28">
        <f t="shared" si="9"/>
        <v>0</v>
      </c>
      <c r="L32" s="492">
        <f t="shared" si="1"/>
        <v>275000</v>
      </c>
      <c r="M32" s="492">
        <f t="shared" si="2"/>
        <v>325000</v>
      </c>
      <c r="N32" s="492">
        <f t="shared" si="3"/>
        <v>160000</v>
      </c>
      <c r="O32" s="492">
        <f t="shared" si="4"/>
        <v>210000</v>
      </c>
      <c r="P32" s="493">
        <f t="shared" si="7"/>
        <v>970000</v>
      </c>
      <c r="Q32" s="494">
        <f>P32/((1+'T3 Inputs'!$B$4)^(B32-2016))</f>
        <v>167029.62822109571</v>
      </c>
    </row>
    <row r="33" spans="1:17" x14ac:dyDescent="0.2">
      <c r="A33" s="293">
        <f t="shared" si="8"/>
        <v>24</v>
      </c>
      <c r="B33" s="487">
        <f t="shared" si="5"/>
        <v>2043</v>
      </c>
      <c r="C33" s="4">
        <v>0</v>
      </c>
      <c r="D33" s="4">
        <v>0</v>
      </c>
      <c r="E33" s="4">
        <v>5</v>
      </c>
      <c r="F33" s="4">
        <v>5</v>
      </c>
      <c r="G33" s="4">
        <v>2</v>
      </c>
      <c r="H33" s="4">
        <v>3</v>
      </c>
      <c r="I33" s="4">
        <f t="shared" si="6"/>
        <v>15</v>
      </c>
      <c r="J33" s="28">
        <f t="shared" si="9"/>
        <v>0</v>
      </c>
      <c r="K33" s="28">
        <f t="shared" si="9"/>
        <v>0</v>
      </c>
      <c r="L33" s="492">
        <f t="shared" si="1"/>
        <v>275000</v>
      </c>
      <c r="M33" s="492">
        <f t="shared" si="2"/>
        <v>325000</v>
      </c>
      <c r="N33" s="492">
        <f t="shared" si="3"/>
        <v>160000</v>
      </c>
      <c r="O33" s="492">
        <f t="shared" si="4"/>
        <v>210000</v>
      </c>
      <c r="P33" s="493">
        <f t="shared" si="7"/>
        <v>970000</v>
      </c>
      <c r="Q33" s="494">
        <f>P33/((1+'T3 Inputs'!$B$4)^(B33-2016))</f>
        <v>156102.45628139781</v>
      </c>
    </row>
    <row r="34" spans="1:17" x14ac:dyDescent="0.2">
      <c r="A34" s="293">
        <f t="shared" si="8"/>
        <v>25</v>
      </c>
      <c r="B34" s="487">
        <f t="shared" si="5"/>
        <v>2044</v>
      </c>
      <c r="C34" s="4">
        <v>0</v>
      </c>
      <c r="D34" s="4">
        <v>0</v>
      </c>
      <c r="E34" s="4">
        <v>5</v>
      </c>
      <c r="F34" s="4">
        <v>5</v>
      </c>
      <c r="G34" s="4">
        <v>2</v>
      </c>
      <c r="H34" s="4">
        <v>3</v>
      </c>
      <c r="I34" s="4">
        <f t="shared" si="6"/>
        <v>15</v>
      </c>
      <c r="J34" s="28">
        <f t="shared" si="9"/>
        <v>0</v>
      </c>
      <c r="K34" s="28">
        <f t="shared" si="9"/>
        <v>0</v>
      </c>
      <c r="L34" s="492">
        <f t="shared" si="1"/>
        <v>275000</v>
      </c>
      <c r="M34" s="492">
        <f t="shared" si="2"/>
        <v>325000</v>
      </c>
      <c r="N34" s="492">
        <f t="shared" si="3"/>
        <v>160000</v>
      </c>
      <c r="O34" s="492">
        <f t="shared" si="4"/>
        <v>210000</v>
      </c>
      <c r="P34" s="493">
        <f t="shared" si="7"/>
        <v>970000</v>
      </c>
      <c r="Q34" s="494">
        <f>P34/((1+'T3 Inputs'!$B$4)^(B34-2016))</f>
        <v>145890.14605738118</v>
      </c>
    </row>
    <row r="35" spans="1:17" x14ac:dyDescent="0.2">
      <c r="A35" s="293">
        <f t="shared" si="8"/>
        <v>26</v>
      </c>
      <c r="B35" s="487">
        <f t="shared" si="5"/>
        <v>2045</v>
      </c>
      <c r="C35" s="4">
        <v>0</v>
      </c>
      <c r="D35" s="4">
        <v>0</v>
      </c>
      <c r="E35" s="4">
        <v>5</v>
      </c>
      <c r="F35" s="4">
        <v>5</v>
      </c>
      <c r="G35" s="4">
        <v>2</v>
      </c>
      <c r="H35" s="4">
        <v>3</v>
      </c>
      <c r="I35" s="4">
        <f t="shared" si="6"/>
        <v>15</v>
      </c>
      <c r="J35" s="28">
        <f t="shared" si="9"/>
        <v>0</v>
      </c>
      <c r="K35" s="28">
        <f t="shared" si="9"/>
        <v>0</v>
      </c>
      <c r="L35" s="492">
        <f t="shared" si="1"/>
        <v>275000</v>
      </c>
      <c r="M35" s="492">
        <f t="shared" si="2"/>
        <v>325000</v>
      </c>
      <c r="N35" s="492">
        <f t="shared" si="3"/>
        <v>160000</v>
      </c>
      <c r="O35" s="492">
        <f t="shared" si="4"/>
        <v>210000</v>
      </c>
      <c r="P35" s="493">
        <f t="shared" si="7"/>
        <v>970000</v>
      </c>
      <c r="Q35" s="494">
        <f>P35/((1+'T3 Inputs'!$B$4)^(B35-2016))</f>
        <v>136345.93089474874</v>
      </c>
    </row>
    <row r="36" spans="1:17" x14ac:dyDescent="0.2">
      <c r="A36" s="293">
        <f t="shared" si="8"/>
        <v>27</v>
      </c>
      <c r="B36" s="487">
        <f t="shared" si="5"/>
        <v>2046</v>
      </c>
      <c r="C36" s="4">
        <v>0</v>
      </c>
      <c r="D36" s="4">
        <v>0</v>
      </c>
      <c r="E36" s="4">
        <v>5</v>
      </c>
      <c r="F36" s="4">
        <v>5</v>
      </c>
      <c r="G36" s="4">
        <v>2</v>
      </c>
      <c r="H36" s="4">
        <v>3</v>
      </c>
      <c r="I36" s="4">
        <f t="shared" si="6"/>
        <v>15</v>
      </c>
      <c r="J36" s="28">
        <f t="shared" si="9"/>
        <v>0</v>
      </c>
      <c r="K36" s="28">
        <f t="shared" si="9"/>
        <v>0</v>
      </c>
      <c r="L36" s="492">
        <f t="shared" si="1"/>
        <v>275000</v>
      </c>
      <c r="M36" s="492">
        <f t="shared" si="2"/>
        <v>325000</v>
      </c>
      <c r="N36" s="492">
        <f t="shared" si="3"/>
        <v>160000</v>
      </c>
      <c r="O36" s="492">
        <f t="shared" si="4"/>
        <v>210000</v>
      </c>
      <c r="P36" s="493">
        <f t="shared" si="7"/>
        <v>970000</v>
      </c>
      <c r="Q36" s="494">
        <f>P36/((1+'T3 Inputs'!$B$4)^(B36-2016))</f>
        <v>127426.10363995211</v>
      </c>
    </row>
    <row r="37" spans="1:17" x14ac:dyDescent="0.2">
      <c r="A37" s="293">
        <f t="shared" si="8"/>
        <v>28</v>
      </c>
      <c r="B37" s="487">
        <f t="shared" si="5"/>
        <v>2047</v>
      </c>
      <c r="C37" s="4">
        <v>0</v>
      </c>
      <c r="D37" s="4">
        <v>0</v>
      </c>
      <c r="E37" s="4">
        <v>5</v>
      </c>
      <c r="F37" s="4">
        <v>5</v>
      </c>
      <c r="G37" s="4">
        <v>2</v>
      </c>
      <c r="H37" s="4">
        <v>3</v>
      </c>
      <c r="I37" s="4">
        <f t="shared" si="6"/>
        <v>15</v>
      </c>
      <c r="J37" s="28">
        <f t="shared" si="9"/>
        <v>0</v>
      </c>
      <c r="K37" s="28">
        <f t="shared" si="9"/>
        <v>0</v>
      </c>
      <c r="L37" s="492">
        <f t="shared" si="1"/>
        <v>275000</v>
      </c>
      <c r="M37" s="492">
        <f t="shared" si="2"/>
        <v>325000</v>
      </c>
      <c r="N37" s="492">
        <f t="shared" si="3"/>
        <v>160000</v>
      </c>
      <c r="O37" s="492">
        <f t="shared" si="4"/>
        <v>210000</v>
      </c>
      <c r="P37" s="493">
        <f t="shared" si="7"/>
        <v>970000</v>
      </c>
      <c r="Q37" s="494">
        <f>P37/((1+'T3 Inputs'!$B$4)^(B37-2016))</f>
        <v>119089.81648593654</v>
      </c>
    </row>
    <row r="38" spans="1:17" x14ac:dyDescent="0.2">
      <c r="A38" s="293">
        <f t="shared" si="8"/>
        <v>29</v>
      </c>
      <c r="B38" s="487">
        <f t="shared" si="5"/>
        <v>2048</v>
      </c>
      <c r="C38" s="4">
        <v>0</v>
      </c>
      <c r="D38" s="4">
        <v>0</v>
      </c>
      <c r="E38" s="4">
        <v>5</v>
      </c>
      <c r="F38" s="4">
        <v>5</v>
      </c>
      <c r="G38" s="4">
        <v>2</v>
      </c>
      <c r="H38" s="4">
        <v>3</v>
      </c>
      <c r="I38" s="4">
        <f t="shared" si="6"/>
        <v>15</v>
      </c>
      <c r="J38" s="28">
        <f t="shared" si="9"/>
        <v>0</v>
      </c>
      <c r="K38" s="28">
        <f t="shared" si="9"/>
        <v>0</v>
      </c>
      <c r="L38" s="492">
        <f t="shared" si="1"/>
        <v>275000</v>
      </c>
      <c r="M38" s="492">
        <f t="shared" si="2"/>
        <v>325000</v>
      </c>
      <c r="N38" s="492">
        <f t="shared" si="3"/>
        <v>160000</v>
      </c>
      <c r="O38" s="492">
        <f t="shared" si="4"/>
        <v>210000</v>
      </c>
      <c r="P38" s="493">
        <f t="shared" si="7"/>
        <v>970000</v>
      </c>
      <c r="Q38" s="494">
        <f>P38/((1+'T3 Inputs'!$B$4)^(B38-2016))</f>
        <v>111298.89391209024</v>
      </c>
    </row>
    <row r="39" spans="1:17" x14ac:dyDescent="0.2">
      <c r="A39" s="293">
        <f t="shared" si="8"/>
        <v>30</v>
      </c>
      <c r="B39" s="487">
        <f t="shared" si="5"/>
        <v>2049</v>
      </c>
      <c r="C39" s="4">
        <v>0</v>
      </c>
      <c r="D39" s="4">
        <v>0</v>
      </c>
      <c r="E39" s="4">
        <v>5</v>
      </c>
      <c r="F39" s="4">
        <v>5</v>
      </c>
      <c r="G39" s="4">
        <v>2</v>
      </c>
      <c r="H39" s="4">
        <v>3</v>
      </c>
      <c r="I39" s="4">
        <f t="shared" si="6"/>
        <v>15</v>
      </c>
      <c r="J39" s="28">
        <f>C39*$L$4</f>
        <v>0</v>
      </c>
      <c r="K39" s="28">
        <f>D39*$L$4</f>
        <v>0</v>
      </c>
      <c r="L39" s="492">
        <f t="shared" si="1"/>
        <v>275000</v>
      </c>
      <c r="M39" s="492">
        <f t="shared" si="2"/>
        <v>325000</v>
      </c>
      <c r="N39" s="492">
        <f t="shared" si="3"/>
        <v>160000</v>
      </c>
      <c r="O39" s="492">
        <f t="shared" si="4"/>
        <v>210000</v>
      </c>
      <c r="P39" s="493">
        <f t="shared" si="7"/>
        <v>970000</v>
      </c>
      <c r="Q39" s="494">
        <f>P39/((1+'T3 Inputs'!$B$4)^(B39-2016))</f>
        <v>104017.65786176657</v>
      </c>
    </row>
    <row r="40" spans="1:17" s="204" customFormat="1" ht="15" thickBot="1" x14ac:dyDescent="0.25">
      <c r="A40" s="666" t="s">
        <v>0</v>
      </c>
      <c r="B40" s="667"/>
      <c r="C40" s="667"/>
      <c r="D40" s="667"/>
      <c r="E40" s="667"/>
      <c r="F40" s="667"/>
      <c r="G40" s="667"/>
      <c r="H40" s="667"/>
      <c r="I40" s="667"/>
      <c r="J40" s="168">
        <f t="shared" ref="J40:Q40" si="10">SUM(J7:J39)</f>
        <v>17270000</v>
      </c>
      <c r="K40" s="495">
        <f t="shared" si="10"/>
        <v>9625000</v>
      </c>
      <c r="L40" s="495">
        <f t="shared" si="10"/>
        <v>8525000</v>
      </c>
      <c r="M40" s="495">
        <f t="shared" si="10"/>
        <v>10075000</v>
      </c>
      <c r="N40" s="495">
        <f t="shared" si="10"/>
        <v>4960000</v>
      </c>
      <c r="O40" s="495">
        <f t="shared" si="10"/>
        <v>6510000</v>
      </c>
      <c r="P40" s="496">
        <f t="shared" si="10"/>
        <v>56965000</v>
      </c>
      <c r="Q40" s="497">
        <f t="shared" si="10"/>
        <v>33089560.487265069</v>
      </c>
    </row>
  </sheetData>
  <mergeCells count="8">
    <mergeCell ref="A40:I40"/>
    <mergeCell ref="P3:Q4"/>
    <mergeCell ref="J5:O5"/>
    <mergeCell ref="A1:P1"/>
    <mergeCell ref="A2:I4"/>
    <mergeCell ref="J2:P2"/>
    <mergeCell ref="A5:B5"/>
    <mergeCell ref="C5:I5"/>
  </mergeCells>
  <pageMargins left="0.25" right="0.25" top="0.75" bottom="0.75" header="0.3" footer="0.3"/>
  <pageSetup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Normal="100" workbookViewId="0">
      <selection sqref="A1:A2"/>
    </sheetView>
  </sheetViews>
  <sheetFormatPr defaultRowHeight="12.75" x14ac:dyDescent="0.2"/>
  <cols>
    <col min="1" max="3" width="13.7109375" style="1" customWidth="1"/>
    <col min="4" max="4" width="3.7109375" style="1" customWidth="1"/>
    <col min="5" max="6" width="7.7109375" style="234" customWidth="1"/>
    <col min="7" max="10" width="15.7109375" style="228" hidden="1" customWidth="1"/>
    <col min="11" max="13" width="14.28515625" style="228" customWidth="1"/>
    <col min="14" max="14" width="9.140625" style="228"/>
    <col min="15" max="16384" width="9.140625" style="1"/>
  </cols>
  <sheetData>
    <row r="1" spans="1:14" s="219" customFormat="1" ht="12.75" customHeight="1" x14ac:dyDescent="0.2">
      <c r="A1" s="579" t="s">
        <v>142</v>
      </c>
      <c r="B1" s="581" t="s">
        <v>141</v>
      </c>
      <c r="C1" s="583" t="s">
        <v>144</v>
      </c>
      <c r="E1" s="571" t="s">
        <v>2</v>
      </c>
      <c r="F1" s="573" t="s">
        <v>130</v>
      </c>
      <c r="G1" s="575" t="s">
        <v>139</v>
      </c>
      <c r="H1" s="576"/>
      <c r="I1" s="575" t="s">
        <v>140</v>
      </c>
      <c r="J1" s="576"/>
      <c r="K1" s="577" t="s">
        <v>251</v>
      </c>
      <c r="L1" s="577" t="s">
        <v>252</v>
      </c>
      <c r="M1" s="585" t="s">
        <v>253</v>
      </c>
      <c r="N1" s="220"/>
    </row>
    <row r="2" spans="1:14" s="219" customFormat="1" ht="29.25" customHeight="1" x14ac:dyDescent="0.2">
      <c r="A2" s="580"/>
      <c r="B2" s="582"/>
      <c r="C2" s="584"/>
      <c r="E2" s="572"/>
      <c r="F2" s="574"/>
      <c r="G2" s="222" t="s">
        <v>135</v>
      </c>
      <c r="H2" s="222" t="s">
        <v>136</v>
      </c>
      <c r="I2" s="222" t="s">
        <v>137</v>
      </c>
      <c r="J2" s="222" t="s">
        <v>138</v>
      </c>
      <c r="K2" s="578"/>
      <c r="L2" s="578"/>
      <c r="M2" s="586"/>
      <c r="N2" s="220"/>
    </row>
    <row r="3" spans="1:14" ht="13.5" thickBot="1" x14ac:dyDescent="0.25">
      <c r="A3" s="223">
        <f>((M12/M3)^(1/10))-1</f>
        <v>9.6226455194902139E-2</v>
      </c>
      <c r="B3" s="224">
        <f>((M12/M8)^(1/5))-1</f>
        <v>8.7322226386291169E-2</v>
      </c>
      <c r="C3" s="225">
        <f>((M12/M10)^(1/3))-1</f>
        <v>-6.7909637168263148E-2</v>
      </c>
      <c r="E3" s="226">
        <v>2007</v>
      </c>
      <c r="F3" s="227">
        <f t="shared" ref="F3:F8" si="0">F4-1</f>
        <v>-12</v>
      </c>
      <c r="G3" s="37">
        <v>23225</v>
      </c>
      <c r="H3" s="37">
        <v>185216</v>
      </c>
      <c r="I3" s="37">
        <v>282311</v>
      </c>
      <c r="J3" s="37">
        <v>0</v>
      </c>
      <c r="K3" s="37">
        <f t="shared" ref="K3:K12" si="1">H3+J3</f>
        <v>185216</v>
      </c>
      <c r="L3" s="37">
        <f t="shared" ref="L3:L12" si="2">G3+I3</f>
        <v>305536</v>
      </c>
      <c r="M3" s="177">
        <f t="shared" ref="M3:M12" si="3">SUM(K3:L3)</f>
        <v>490752</v>
      </c>
    </row>
    <row r="4" spans="1:14" x14ac:dyDescent="0.2">
      <c r="E4" s="226">
        <v>2008</v>
      </c>
      <c r="F4" s="227">
        <f t="shared" si="0"/>
        <v>-11</v>
      </c>
      <c r="G4" s="37">
        <v>0</v>
      </c>
      <c r="H4" s="37">
        <v>286925</v>
      </c>
      <c r="I4" s="37">
        <v>317457</v>
      </c>
      <c r="J4" s="37">
        <v>0</v>
      </c>
      <c r="K4" s="37">
        <f t="shared" si="1"/>
        <v>286925</v>
      </c>
      <c r="L4" s="37">
        <f t="shared" si="2"/>
        <v>317457</v>
      </c>
      <c r="M4" s="177">
        <f t="shared" si="3"/>
        <v>604382</v>
      </c>
    </row>
    <row r="5" spans="1:14" x14ac:dyDescent="0.2">
      <c r="E5" s="226">
        <v>2009</v>
      </c>
      <c r="F5" s="227">
        <f t="shared" si="0"/>
        <v>-10</v>
      </c>
      <c r="G5" s="37">
        <v>127383</v>
      </c>
      <c r="H5" s="37">
        <v>155132</v>
      </c>
      <c r="I5" s="37">
        <v>258192</v>
      </c>
      <c r="J5" s="37">
        <v>0</v>
      </c>
      <c r="K5" s="37">
        <f t="shared" si="1"/>
        <v>155132</v>
      </c>
      <c r="L5" s="37">
        <f t="shared" si="2"/>
        <v>385575</v>
      </c>
      <c r="M5" s="177">
        <f t="shared" si="3"/>
        <v>540707</v>
      </c>
    </row>
    <row r="6" spans="1:14" x14ac:dyDescent="0.2">
      <c r="E6" s="226">
        <v>2010</v>
      </c>
      <c r="F6" s="227">
        <f t="shared" si="0"/>
        <v>-9</v>
      </c>
      <c r="G6" s="37">
        <v>0</v>
      </c>
      <c r="H6" s="37">
        <v>271008</v>
      </c>
      <c r="I6" s="37">
        <v>381614</v>
      </c>
      <c r="J6" s="37">
        <v>0</v>
      </c>
      <c r="K6" s="37">
        <f t="shared" si="1"/>
        <v>271008</v>
      </c>
      <c r="L6" s="37">
        <f t="shared" si="2"/>
        <v>381614</v>
      </c>
      <c r="M6" s="177">
        <f t="shared" si="3"/>
        <v>652622</v>
      </c>
    </row>
    <row r="7" spans="1:14" x14ac:dyDescent="0.2">
      <c r="E7" s="226">
        <v>2011</v>
      </c>
      <c r="F7" s="227">
        <f t="shared" si="0"/>
        <v>-8</v>
      </c>
      <c r="G7" s="37">
        <v>23879.96</v>
      </c>
      <c r="H7" s="37">
        <v>329754.03999999998</v>
      </c>
      <c r="I7" s="37">
        <v>458105.28</v>
      </c>
      <c r="J7" s="37">
        <v>18310</v>
      </c>
      <c r="K7" s="37">
        <f t="shared" si="1"/>
        <v>348064.04</v>
      </c>
      <c r="L7" s="37">
        <f t="shared" si="2"/>
        <v>481985.24000000005</v>
      </c>
      <c r="M7" s="177">
        <f t="shared" si="3"/>
        <v>830049.28000000003</v>
      </c>
    </row>
    <row r="8" spans="1:14" x14ac:dyDescent="0.2">
      <c r="E8" s="226">
        <v>2012</v>
      </c>
      <c r="F8" s="227">
        <f t="shared" si="0"/>
        <v>-7</v>
      </c>
      <c r="G8" s="37">
        <v>0</v>
      </c>
      <c r="H8" s="37">
        <v>354713.4</v>
      </c>
      <c r="I8" s="37">
        <v>454519.51</v>
      </c>
      <c r="J8" s="37">
        <v>0</v>
      </c>
      <c r="K8" s="37">
        <f t="shared" si="1"/>
        <v>354713.4</v>
      </c>
      <c r="L8" s="37">
        <f t="shared" si="2"/>
        <v>454519.51</v>
      </c>
      <c r="M8" s="177">
        <f t="shared" si="3"/>
        <v>809232.91</v>
      </c>
    </row>
    <row r="9" spans="1:14" x14ac:dyDescent="0.2">
      <c r="E9" s="226">
        <v>2013</v>
      </c>
      <c r="F9" s="227">
        <f t="shared" ref="F9:F14" si="4">F10-1</f>
        <v>-6</v>
      </c>
      <c r="G9" s="37">
        <v>139750.92000000001</v>
      </c>
      <c r="H9" s="37">
        <v>181968.19</v>
      </c>
      <c r="I9" s="37">
        <v>443342.93</v>
      </c>
      <c r="J9" s="37">
        <v>0</v>
      </c>
      <c r="K9" s="37">
        <f t="shared" si="1"/>
        <v>181968.19</v>
      </c>
      <c r="L9" s="37">
        <f t="shared" si="2"/>
        <v>583093.85</v>
      </c>
      <c r="M9" s="177">
        <f t="shared" si="3"/>
        <v>765062.04</v>
      </c>
    </row>
    <row r="10" spans="1:14" x14ac:dyDescent="0.2">
      <c r="E10" s="226">
        <f>E9+1</f>
        <v>2014</v>
      </c>
      <c r="F10" s="227">
        <f t="shared" si="4"/>
        <v>-5</v>
      </c>
      <c r="G10" s="37">
        <v>634952.4</v>
      </c>
      <c r="H10" s="37">
        <v>26088.91</v>
      </c>
      <c r="I10" s="37">
        <v>857724.5</v>
      </c>
      <c r="J10" s="37">
        <v>0</v>
      </c>
      <c r="K10" s="37">
        <f t="shared" si="1"/>
        <v>26088.91</v>
      </c>
      <c r="L10" s="37">
        <f t="shared" si="2"/>
        <v>1492676.9</v>
      </c>
      <c r="M10" s="177">
        <f t="shared" si="3"/>
        <v>1518765.8099999998</v>
      </c>
    </row>
    <row r="11" spans="1:14" x14ac:dyDescent="0.2">
      <c r="E11" s="226">
        <f t="shared" ref="E11:E43" si="5">E10+1</f>
        <v>2015</v>
      </c>
      <c r="F11" s="227">
        <f t="shared" si="4"/>
        <v>-4</v>
      </c>
      <c r="G11" s="37">
        <v>322227.90000000002</v>
      </c>
      <c r="H11" s="37">
        <v>836747.55</v>
      </c>
      <c r="I11" s="37">
        <v>1028733.32</v>
      </c>
      <c r="J11" s="37">
        <v>12224.3</v>
      </c>
      <c r="K11" s="37">
        <f t="shared" si="1"/>
        <v>848971.85000000009</v>
      </c>
      <c r="L11" s="37">
        <f t="shared" si="2"/>
        <v>1350961.22</v>
      </c>
      <c r="M11" s="177">
        <f t="shared" si="3"/>
        <v>2199933.0700000003</v>
      </c>
    </row>
    <row r="12" spans="1:14" x14ac:dyDescent="0.2">
      <c r="E12" s="226">
        <f t="shared" si="5"/>
        <v>2016</v>
      </c>
      <c r="F12" s="227">
        <f t="shared" si="4"/>
        <v>-3</v>
      </c>
      <c r="G12" s="37">
        <v>127109.25</v>
      </c>
      <c r="H12" s="37">
        <v>478194.96</v>
      </c>
      <c r="I12" s="37">
        <v>624420.16</v>
      </c>
      <c r="J12" s="37">
        <v>161.65</v>
      </c>
      <c r="K12" s="37">
        <f t="shared" si="1"/>
        <v>478356.61000000004</v>
      </c>
      <c r="L12" s="37">
        <f t="shared" si="2"/>
        <v>751529.41</v>
      </c>
      <c r="M12" s="177">
        <f t="shared" si="3"/>
        <v>1229886.02</v>
      </c>
    </row>
    <row r="13" spans="1:14" x14ac:dyDescent="0.2">
      <c r="E13" s="226">
        <v>2017</v>
      </c>
      <c r="F13" s="227">
        <f t="shared" si="4"/>
        <v>-2</v>
      </c>
      <c r="G13" s="229" t="s">
        <v>143</v>
      </c>
      <c r="H13" s="229" t="s">
        <v>143</v>
      </c>
      <c r="I13" s="229" t="s">
        <v>143</v>
      </c>
      <c r="J13" s="229" t="s">
        <v>143</v>
      </c>
      <c r="K13" s="229" t="s">
        <v>143</v>
      </c>
      <c r="L13" s="229" t="s">
        <v>143</v>
      </c>
      <c r="M13" s="177">
        <f>M12*(1+$B$3)</f>
        <v>1337282.4054677747</v>
      </c>
    </row>
    <row r="14" spans="1:14" x14ac:dyDescent="0.2">
      <c r="E14" s="226">
        <v>2018</v>
      </c>
      <c r="F14" s="227">
        <f t="shared" si="4"/>
        <v>-1</v>
      </c>
      <c r="G14" s="229" t="s">
        <v>143</v>
      </c>
      <c r="H14" s="229" t="s">
        <v>143</v>
      </c>
      <c r="I14" s="229" t="s">
        <v>143</v>
      </c>
      <c r="J14" s="229" t="s">
        <v>143</v>
      </c>
      <c r="K14" s="229" t="s">
        <v>143</v>
      </c>
      <c r="L14" s="229" t="s">
        <v>143</v>
      </c>
      <c r="M14" s="177">
        <f>M13*(1+$B$3)</f>
        <v>1454056.8824204358</v>
      </c>
    </row>
    <row r="15" spans="1:14" x14ac:dyDescent="0.2">
      <c r="E15" s="226">
        <f t="shared" si="5"/>
        <v>2019</v>
      </c>
      <c r="F15" s="227">
        <v>0</v>
      </c>
      <c r="G15" s="229" t="s">
        <v>143</v>
      </c>
      <c r="H15" s="229" t="s">
        <v>143</v>
      </c>
      <c r="I15" s="229" t="s">
        <v>143</v>
      </c>
      <c r="J15" s="229" t="s">
        <v>143</v>
      </c>
      <c r="K15" s="229" t="s">
        <v>143</v>
      </c>
      <c r="L15" s="229" t="s">
        <v>143</v>
      </c>
      <c r="M15" s="177">
        <f>M14*(1+$B$3)</f>
        <v>1581028.3666856978</v>
      </c>
    </row>
    <row r="16" spans="1:14" x14ac:dyDescent="0.2">
      <c r="E16" s="226">
        <f t="shared" si="5"/>
        <v>2020</v>
      </c>
      <c r="F16" s="227">
        <f>F15+1</f>
        <v>1</v>
      </c>
      <c r="G16" s="229" t="s">
        <v>143</v>
      </c>
      <c r="H16" s="229" t="s">
        <v>143</v>
      </c>
      <c r="I16" s="229" t="s">
        <v>143</v>
      </c>
      <c r="J16" s="229" t="s">
        <v>143</v>
      </c>
      <c r="K16" s="229" t="s">
        <v>143</v>
      </c>
      <c r="L16" s="229" t="s">
        <v>143</v>
      </c>
      <c r="M16" s="177">
        <f>M15*(1+$B$3)</f>
        <v>1719087.2836445745</v>
      </c>
    </row>
    <row r="17" spans="5:13" x14ac:dyDescent="0.2">
      <c r="E17" s="226">
        <f t="shared" si="5"/>
        <v>2021</v>
      </c>
      <c r="F17" s="227">
        <f t="shared" ref="F17:F43" si="6">F16+1</f>
        <v>2</v>
      </c>
      <c r="G17" s="229" t="s">
        <v>143</v>
      </c>
      <c r="H17" s="229" t="s">
        <v>143</v>
      </c>
      <c r="I17" s="229" t="s">
        <v>143</v>
      </c>
      <c r="J17" s="229" t="s">
        <v>143</v>
      </c>
      <c r="K17" s="229" t="s">
        <v>143</v>
      </c>
      <c r="L17" s="229" t="s">
        <v>143</v>
      </c>
      <c r="M17" s="177">
        <f>M16*(1+$B$3)</f>
        <v>1869201.8126047803</v>
      </c>
    </row>
    <row r="18" spans="5:13" x14ac:dyDescent="0.2">
      <c r="E18" s="226">
        <f t="shared" si="5"/>
        <v>2022</v>
      </c>
      <c r="F18" s="227">
        <f t="shared" si="6"/>
        <v>3</v>
      </c>
      <c r="G18" s="229" t="s">
        <v>143</v>
      </c>
      <c r="H18" s="229" t="s">
        <v>143</v>
      </c>
      <c r="I18" s="229" t="s">
        <v>143</v>
      </c>
      <c r="J18" s="229" t="s">
        <v>143</v>
      </c>
      <c r="K18" s="229" t="s">
        <v>143</v>
      </c>
      <c r="L18" s="229" t="s">
        <v>143</v>
      </c>
      <c r="M18" s="177">
        <f>M17</f>
        <v>1869201.8126047803</v>
      </c>
    </row>
    <row r="19" spans="5:13" x14ac:dyDescent="0.2">
      <c r="E19" s="226">
        <f t="shared" si="5"/>
        <v>2023</v>
      </c>
      <c r="F19" s="227">
        <f t="shared" si="6"/>
        <v>4</v>
      </c>
      <c r="G19" s="229" t="s">
        <v>143</v>
      </c>
      <c r="H19" s="229" t="s">
        <v>143</v>
      </c>
      <c r="I19" s="229" t="s">
        <v>143</v>
      </c>
      <c r="J19" s="229" t="s">
        <v>143</v>
      </c>
      <c r="K19" s="229" t="s">
        <v>143</v>
      </c>
      <c r="L19" s="229" t="s">
        <v>143</v>
      </c>
      <c r="M19" s="177">
        <f t="shared" ref="M19:M45" si="7">M18</f>
        <v>1869201.8126047803</v>
      </c>
    </row>
    <row r="20" spans="5:13" x14ac:dyDescent="0.2">
      <c r="E20" s="226">
        <f t="shared" si="5"/>
        <v>2024</v>
      </c>
      <c r="F20" s="227">
        <f t="shared" si="6"/>
        <v>5</v>
      </c>
      <c r="G20" s="229" t="s">
        <v>143</v>
      </c>
      <c r="H20" s="229" t="s">
        <v>143</v>
      </c>
      <c r="I20" s="229" t="s">
        <v>143</v>
      </c>
      <c r="J20" s="229" t="s">
        <v>143</v>
      </c>
      <c r="K20" s="229" t="s">
        <v>143</v>
      </c>
      <c r="L20" s="229" t="s">
        <v>143</v>
      </c>
      <c r="M20" s="177">
        <f t="shared" si="7"/>
        <v>1869201.8126047803</v>
      </c>
    </row>
    <row r="21" spans="5:13" x14ac:dyDescent="0.2">
      <c r="E21" s="226">
        <f t="shared" si="5"/>
        <v>2025</v>
      </c>
      <c r="F21" s="227">
        <f t="shared" si="6"/>
        <v>6</v>
      </c>
      <c r="G21" s="229" t="s">
        <v>143</v>
      </c>
      <c r="H21" s="229" t="s">
        <v>143</v>
      </c>
      <c r="I21" s="229" t="s">
        <v>143</v>
      </c>
      <c r="J21" s="229" t="s">
        <v>143</v>
      </c>
      <c r="K21" s="229" t="s">
        <v>143</v>
      </c>
      <c r="L21" s="229" t="s">
        <v>143</v>
      </c>
      <c r="M21" s="177">
        <f t="shared" si="7"/>
        <v>1869201.8126047803</v>
      </c>
    </row>
    <row r="22" spans="5:13" x14ac:dyDescent="0.2">
      <c r="E22" s="226">
        <f t="shared" si="5"/>
        <v>2026</v>
      </c>
      <c r="F22" s="227">
        <f t="shared" si="6"/>
        <v>7</v>
      </c>
      <c r="G22" s="229" t="s">
        <v>143</v>
      </c>
      <c r="H22" s="229" t="s">
        <v>143</v>
      </c>
      <c r="I22" s="229" t="s">
        <v>143</v>
      </c>
      <c r="J22" s="229" t="s">
        <v>143</v>
      </c>
      <c r="K22" s="229" t="s">
        <v>143</v>
      </c>
      <c r="L22" s="229" t="s">
        <v>143</v>
      </c>
      <c r="M22" s="177">
        <f t="shared" si="7"/>
        <v>1869201.8126047803</v>
      </c>
    </row>
    <row r="23" spans="5:13" x14ac:dyDescent="0.2">
      <c r="E23" s="226">
        <f t="shared" si="5"/>
        <v>2027</v>
      </c>
      <c r="F23" s="227">
        <f t="shared" si="6"/>
        <v>8</v>
      </c>
      <c r="G23" s="229" t="s">
        <v>143</v>
      </c>
      <c r="H23" s="229" t="s">
        <v>143</v>
      </c>
      <c r="I23" s="229" t="s">
        <v>143</v>
      </c>
      <c r="J23" s="229" t="s">
        <v>143</v>
      </c>
      <c r="K23" s="229" t="s">
        <v>143</v>
      </c>
      <c r="L23" s="229" t="s">
        <v>143</v>
      </c>
      <c r="M23" s="177">
        <f t="shared" si="7"/>
        <v>1869201.8126047803</v>
      </c>
    </row>
    <row r="24" spans="5:13" x14ac:dyDescent="0.2">
      <c r="E24" s="226">
        <f t="shared" si="5"/>
        <v>2028</v>
      </c>
      <c r="F24" s="227">
        <f t="shared" si="6"/>
        <v>9</v>
      </c>
      <c r="G24" s="229" t="s">
        <v>143</v>
      </c>
      <c r="H24" s="229" t="s">
        <v>143</v>
      </c>
      <c r="I24" s="229" t="s">
        <v>143</v>
      </c>
      <c r="J24" s="229" t="s">
        <v>143</v>
      </c>
      <c r="K24" s="229" t="s">
        <v>143</v>
      </c>
      <c r="L24" s="229" t="s">
        <v>143</v>
      </c>
      <c r="M24" s="177">
        <f t="shared" si="7"/>
        <v>1869201.8126047803</v>
      </c>
    </row>
    <row r="25" spans="5:13" x14ac:dyDescent="0.2">
      <c r="E25" s="226">
        <f t="shared" si="5"/>
        <v>2029</v>
      </c>
      <c r="F25" s="227">
        <f t="shared" si="6"/>
        <v>10</v>
      </c>
      <c r="G25" s="229" t="s">
        <v>143</v>
      </c>
      <c r="H25" s="229" t="s">
        <v>143</v>
      </c>
      <c r="I25" s="229" t="s">
        <v>143</v>
      </c>
      <c r="J25" s="229" t="s">
        <v>143</v>
      </c>
      <c r="K25" s="229" t="s">
        <v>143</v>
      </c>
      <c r="L25" s="229" t="s">
        <v>143</v>
      </c>
      <c r="M25" s="177">
        <f t="shared" si="7"/>
        <v>1869201.8126047803</v>
      </c>
    </row>
    <row r="26" spans="5:13" x14ac:dyDescent="0.2">
      <c r="E26" s="226">
        <f t="shared" si="5"/>
        <v>2030</v>
      </c>
      <c r="F26" s="227">
        <f t="shared" si="6"/>
        <v>11</v>
      </c>
      <c r="G26" s="229" t="s">
        <v>143</v>
      </c>
      <c r="H26" s="229" t="s">
        <v>143</v>
      </c>
      <c r="I26" s="229" t="s">
        <v>143</v>
      </c>
      <c r="J26" s="229" t="s">
        <v>143</v>
      </c>
      <c r="K26" s="229" t="s">
        <v>143</v>
      </c>
      <c r="L26" s="229" t="s">
        <v>143</v>
      </c>
      <c r="M26" s="177">
        <f t="shared" si="7"/>
        <v>1869201.8126047803</v>
      </c>
    </row>
    <row r="27" spans="5:13" x14ac:dyDescent="0.2">
      <c r="E27" s="226">
        <f t="shared" si="5"/>
        <v>2031</v>
      </c>
      <c r="F27" s="227">
        <f t="shared" si="6"/>
        <v>12</v>
      </c>
      <c r="G27" s="229" t="s">
        <v>143</v>
      </c>
      <c r="H27" s="229" t="s">
        <v>143</v>
      </c>
      <c r="I27" s="229" t="s">
        <v>143</v>
      </c>
      <c r="J27" s="229" t="s">
        <v>143</v>
      </c>
      <c r="K27" s="229" t="s">
        <v>143</v>
      </c>
      <c r="L27" s="229" t="s">
        <v>143</v>
      </c>
      <c r="M27" s="177">
        <f t="shared" si="7"/>
        <v>1869201.8126047803</v>
      </c>
    </row>
    <row r="28" spans="5:13" x14ac:dyDescent="0.2">
      <c r="E28" s="226">
        <f t="shared" si="5"/>
        <v>2032</v>
      </c>
      <c r="F28" s="227">
        <f t="shared" si="6"/>
        <v>13</v>
      </c>
      <c r="G28" s="229" t="s">
        <v>143</v>
      </c>
      <c r="H28" s="229" t="s">
        <v>143</v>
      </c>
      <c r="I28" s="229" t="s">
        <v>143</v>
      </c>
      <c r="J28" s="229" t="s">
        <v>143</v>
      </c>
      <c r="K28" s="229" t="s">
        <v>143</v>
      </c>
      <c r="L28" s="229" t="s">
        <v>143</v>
      </c>
      <c r="M28" s="177">
        <f t="shared" si="7"/>
        <v>1869201.8126047803</v>
      </c>
    </row>
    <row r="29" spans="5:13" x14ac:dyDescent="0.2">
      <c r="E29" s="226">
        <f t="shared" si="5"/>
        <v>2033</v>
      </c>
      <c r="F29" s="227">
        <f t="shared" si="6"/>
        <v>14</v>
      </c>
      <c r="G29" s="229" t="s">
        <v>143</v>
      </c>
      <c r="H29" s="229" t="s">
        <v>143</v>
      </c>
      <c r="I29" s="229" t="s">
        <v>143</v>
      </c>
      <c r="J29" s="229" t="s">
        <v>143</v>
      </c>
      <c r="K29" s="229" t="s">
        <v>143</v>
      </c>
      <c r="L29" s="229" t="s">
        <v>143</v>
      </c>
      <c r="M29" s="177">
        <f t="shared" si="7"/>
        <v>1869201.8126047803</v>
      </c>
    </row>
    <row r="30" spans="5:13" x14ac:dyDescent="0.2">
      <c r="E30" s="226">
        <f t="shared" si="5"/>
        <v>2034</v>
      </c>
      <c r="F30" s="227">
        <f t="shared" si="6"/>
        <v>15</v>
      </c>
      <c r="G30" s="229" t="s">
        <v>143</v>
      </c>
      <c r="H30" s="229" t="s">
        <v>143</v>
      </c>
      <c r="I30" s="229" t="s">
        <v>143</v>
      </c>
      <c r="J30" s="229" t="s">
        <v>143</v>
      </c>
      <c r="K30" s="229" t="s">
        <v>143</v>
      </c>
      <c r="L30" s="229" t="s">
        <v>143</v>
      </c>
      <c r="M30" s="177">
        <f t="shared" si="7"/>
        <v>1869201.8126047803</v>
      </c>
    </row>
    <row r="31" spans="5:13" x14ac:dyDescent="0.2">
      <c r="E31" s="226">
        <f t="shared" si="5"/>
        <v>2035</v>
      </c>
      <c r="F31" s="227">
        <f t="shared" si="6"/>
        <v>16</v>
      </c>
      <c r="G31" s="229" t="s">
        <v>143</v>
      </c>
      <c r="H31" s="229" t="s">
        <v>143</v>
      </c>
      <c r="I31" s="229" t="s">
        <v>143</v>
      </c>
      <c r="J31" s="229" t="s">
        <v>143</v>
      </c>
      <c r="K31" s="229" t="s">
        <v>143</v>
      </c>
      <c r="L31" s="229" t="s">
        <v>143</v>
      </c>
      <c r="M31" s="177">
        <f t="shared" si="7"/>
        <v>1869201.8126047803</v>
      </c>
    </row>
    <row r="32" spans="5:13" x14ac:dyDescent="0.2">
      <c r="E32" s="226">
        <f t="shared" si="5"/>
        <v>2036</v>
      </c>
      <c r="F32" s="227">
        <f t="shared" si="6"/>
        <v>17</v>
      </c>
      <c r="G32" s="229" t="s">
        <v>143</v>
      </c>
      <c r="H32" s="229" t="s">
        <v>143</v>
      </c>
      <c r="I32" s="229" t="s">
        <v>143</v>
      </c>
      <c r="J32" s="229" t="s">
        <v>143</v>
      </c>
      <c r="K32" s="229" t="s">
        <v>143</v>
      </c>
      <c r="L32" s="229" t="s">
        <v>143</v>
      </c>
      <c r="M32" s="177">
        <f t="shared" si="7"/>
        <v>1869201.8126047803</v>
      </c>
    </row>
    <row r="33" spans="5:13" x14ac:dyDescent="0.2">
      <c r="E33" s="226">
        <f t="shared" si="5"/>
        <v>2037</v>
      </c>
      <c r="F33" s="227">
        <f t="shared" si="6"/>
        <v>18</v>
      </c>
      <c r="G33" s="229" t="s">
        <v>143</v>
      </c>
      <c r="H33" s="229" t="s">
        <v>143</v>
      </c>
      <c r="I33" s="229" t="s">
        <v>143</v>
      </c>
      <c r="J33" s="229" t="s">
        <v>143</v>
      </c>
      <c r="K33" s="229" t="s">
        <v>143</v>
      </c>
      <c r="L33" s="229" t="s">
        <v>143</v>
      </c>
      <c r="M33" s="177">
        <f t="shared" si="7"/>
        <v>1869201.8126047803</v>
      </c>
    </row>
    <row r="34" spans="5:13" x14ac:dyDescent="0.2">
      <c r="E34" s="226">
        <f t="shared" si="5"/>
        <v>2038</v>
      </c>
      <c r="F34" s="227">
        <f t="shared" si="6"/>
        <v>19</v>
      </c>
      <c r="G34" s="229" t="s">
        <v>143</v>
      </c>
      <c r="H34" s="229" t="s">
        <v>143</v>
      </c>
      <c r="I34" s="229" t="s">
        <v>143</v>
      </c>
      <c r="J34" s="229" t="s">
        <v>143</v>
      </c>
      <c r="K34" s="229" t="s">
        <v>143</v>
      </c>
      <c r="L34" s="229" t="s">
        <v>143</v>
      </c>
      <c r="M34" s="177">
        <f t="shared" si="7"/>
        <v>1869201.8126047803</v>
      </c>
    </row>
    <row r="35" spans="5:13" x14ac:dyDescent="0.2">
      <c r="E35" s="226">
        <f t="shared" si="5"/>
        <v>2039</v>
      </c>
      <c r="F35" s="227">
        <f t="shared" si="6"/>
        <v>20</v>
      </c>
      <c r="G35" s="229" t="s">
        <v>143</v>
      </c>
      <c r="H35" s="229" t="s">
        <v>143</v>
      </c>
      <c r="I35" s="229" t="s">
        <v>143</v>
      </c>
      <c r="J35" s="229" t="s">
        <v>143</v>
      </c>
      <c r="K35" s="229" t="s">
        <v>143</v>
      </c>
      <c r="L35" s="229" t="s">
        <v>143</v>
      </c>
      <c r="M35" s="177">
        <f t="shared" si="7"/>
        <v>1869201.8126047803</v>
      </c>
    </row>
    <row r="36" spans="5:13" x14ac:dyDescent="0.2">
      <c r="E36" s="226">
        <f t="shared" si="5"/>
        <v>2040</v>
      </c>
      <c r="F36" s="227">
        <f t="shared" si="6"/>
        <v>21</v>
      </c>
      <c r="G36" s="229" t="s">
        <v>143</v>
      </c>
      <c r="H36" s="229" t="s">
        <v>143</v>
      </c>
      <c r="I36" s="229" t="s">
        <v>143</v>
      </c>
      <c r="J36" s="229" t="s">
        <v>143</v>
      </c>
      <c r="K36" s="229" t="s">
        <v>143</v>
      </c>
      <c r="L36" s="229" t="s">
        <v>143</v>
      </c>
      <c r="M36" s="177">
        <f t="shared" si="7"/>
        <v>1869201.8126047803</v>
      </c>
    </row>
    <row r="37" spans="5:13" x14ac:dyDescent="0.2">
      <c r="E37" s="226">
        <f t="shared" si="5"/>
        <v>2041</v>
      </c>
      <c r="F37" s="227">
        <f t="shared" si="6"/>
        <v>22</v>
      </c>
      <c r="G37" s="229" t="s">
        <v>143</v>
      </c>
      <c r="H37" s="229" t="s">
        <v>143</v>
      </c>
      <c r="I37" s="229" t="s">
        <v>143</v>
      </c>
      <c r="J37" s="229" t="s">
        <v>143</v>
      </c>
      <c r="K37" s="229" t="s">
        <v>143</v>
      </c>
      <c r="L37" s="229" t="s">
        <v>143</v>
      </c>
      <c r="M37" s="177">
        <f t="shared" si="7"/>
        <v>1869201.8126047803</v>
      </c>
    </row>
    <row r="38" spans="5:13" x14ac:dyDescent="0.2">
      <c r="E38" s="226">
        <f t="shared" si="5"/>
        <v>2042</v>
      </c>
      <c r="F38" s="227">
        <f t="shared" si="6"/>
        <v>23</v>
      </c>
      <c r="G38" s="229" t="s">
        <v>143</v>
      </c>
      <c r="H38" s="229" t="s">
        <v>143</v>
      </c>
      <c r="I38" s="229" t="s">
        <v>143</v>
      </c>
      <c r="J38" s="229" t="s">
        <v>143</v>
      </c>
      <c r="K38" s="229" t="s">
        <v>143</v>
      </c>
      <c r="L38" s="229" t="s">
        <v>143</v>
      </c>
      <c r="M38" s="177">
        <f t="shared" si="7"/>
        <v>1869201.8126047803</v>
      </c>
    </row>
    <row r="39" spans="5:13" x14ac:dyDescent="0.2">
      <c r="E39" s="226">
        <f t="shared" si="5"/>
        <v>2043</v>
      </c>
      <c r="F39" s="227">
        <f t="shared" si="6"/>
        <v>24</v>
      </c>
      <c r="G39" s="229" t="s">
        <v>143</v>
      </c>
      <c r="H39" s="229" t="s">
        <v>143</v>
      </c>
      <c r="I39" s="229" t="s">
        <v>143</v>
      </c>
      <c r="J39" s="229" t="s">
        <v>143</v>
      </c>
      <c r="K39" s="229" t="s">
        <v>143</v>
      </c>
      <c r="L39" s="229" t="s">
        <v>143</v>
      </c>
      <c r="M39" s="177">
        <f>M38</f>
        <v>1869201.8126047803</v>
      </c>
    </row>
    <row r="40" spans="5:13" x14ac:dyDescent="0.2">
      <c r="E40" s="226">
        <f t="shared" si="5"/>
        <v>2044</v>
      </c>
      <c r="F40" s="227">
        <f t="shared" si="6"/>
        <v>25</v>
      </c>
      <c r="G40" s="229" t="s">
        <v>143</v>
      </c>
      <c r="H40" s="229" t="s">
        <v>143</v>
      </c>
      <c r="I40" s="229" t="s">
        <v>143</v>
      </c>
      <c r="J40" s="229" t="s">
        <v>143</v>
      </c>
      <c r="K40" s="229" t="s">
        <v>143</v>
      </c>
      <c r="L40" s="229" t="s">
        <v>143</v>
      </c>
      <c r="M40" s="177">
        <f t="shared" si="7"/>
        <v>1869201.8126047803</v>
      </c>
    </row>
    <row r="41" spans="5:13" x14ac:dyDescent="0.2">
      <c r="E41" s="226">
        <f t="shared" si="5"/>
        <v>2045</v>
      </c>
      <c r="F41" s="227">
        <f t="shared" si="6"/>
        <v>26</v>
      </c>
      <c r="G41" s="229" t="s">
        <v>143</v>
      </c>
      <c r="H41" s="229" t="s">
        <v>143</v>
      </c>
      <c r="I41" s="229" t="s">
        <v>143</v>
      </c>
      <c r="J41" s="229" t="s">
        <v>143</v>
      </c>
      <c r="K41" s="229" t="s">
        <v>143</v>
      </c>
      <c r="L41" s="229" t="s">
        <v>143</v>
      </c>
      <c r="M41" s="177">
        <f t="shared" si="7"/>
        <v>1869201.8126047803</v>
      </c>
    </row>
    <row r="42" spans="5:13" x14ac:dyDescent="0.2">
      <c r="E42" s="226">
        <f t="shared" si="5"/>
        <v>2046</v>
      </c>
      <c r="F42" s="227">
        <f t="shared" si="6"/>
        <v>27</v>
      </c>
      <c r="G42" s="229" t="s">
        <v>143</v>
      </c>
      <c r="H42" s="229" t="s">
        <v>143</v>
      </c>
      <c r="I42" s="229" t="s">
        <v>143</v>
      </c>
      <c r="J42" s="229" t="s">
        <v>143</v>
      </c>
      <c r="K42" s="229" t="s">
        <v>143</v>
      </c>
      <c r="L42" s="229" t="s">
        <v>143</v>
      </c>
      <c r="M42" s="177">
        <f t="shared" si="7"/>
        <v>1869201.8126047803</v>
      </c>
    </row>
    <row r="43" spans="5:13" x14ac:dyDescent="0.2">
      <c r="E43" s="226">
        <f t="shared" si="5"/>
        <v>2047</v>
      </c>
      <c r="F43" s="227">
        <f t="shared" si="6"/>
        <v>28</v>
      </c>
      <c r="G43" s="229" t="s">
        <v>143</v>
      </c>
      <c r="H43" s="229" t="s">
        <v>143</v>
      </c>
      <c r="I43" s="229" t="s">
        <v>143</v>
      </c>
      <c r="J43" s="229" t="s">
        <v>143</v>
      </c>
      <c r="K43" s="229" t="s">
        <v>143</v>
      </c>
      <c r="L43" s="229" t="s">
        <v>143</v>
      </c>
      <c r="M43" s="177">
        <f t="shared" si="7"/>
        <v>1869201.8126047803</v>
      </c>
    </row>
    <row r="44" spans="5:13" x14ac:dyDescent="0.2">
      <c r="E44" s="226">
        <f>E43+1</f>
        <v>2048</v>
      </c>
      <c r="F44" s="227">
        <f>F43+1</f>
        <v>29</v>
      </c>
      <c r="G44" s="229" t="s">
        <v>143</v>
      </c>
      <c r="H44" s="229" t="s">
        <v>143</v>
      </c>
      <c r="I44" s="229" t="s">
        <v>143</v>
      </c>
      <c r="J44" s="229" t="s">
        <v>143</v>
      </c>
      <c r="K44" s="229" t="s">
        <v>143</v>
      </c>
      <c r="L44" s="229" t="s">
        <v>143</v>
      </c>
      <c r="M44" s="177">
        <f t="shared" si="7"/>
        <v>1869201.8126047803</v>
      </c>
    </row>
    <row r="45" spans="5:13" ht="13.5" thickBot="1" x14ac:dyDescent="0.25">
      <c r="E45" s="230">
        <f>E44+1</f>
        <v>2049</v>
      </c>
      <c r="F45" s="231">
        <f>F44+1</f>
        <v>30</v>
      </c>
      <c r="G45" s="232" t="s">
        <v>143</v>
      </c>
      <c r="H45" s="232" t="s">
        <v>143</v>
      </c>
      <c r="I45" s="232" t="s">
        <v>143</v>
      </c>
      <c r="J45" s="232" t="s">
        <v>143</v>
      </c>
      <c r="K45" s="232" t="s">
        <v>143</v>
      </c>
      <c r="L45" s="232" t="s">
        <v>143</v>
      </c>
      <c r="M45" s="233">
        <f t="shared" si="7"/>
        <v>1869201.8126047803</v>
      </c>
    </row>
    <row r="46" spans="5:13" ht="13.5" thickBot="1" x14ac:dyDescent="0.25"/>
    <row r="47" spans="5:13" x14ac:dyDescent="0.2">
      <c r="E47" s="571" t="s">
        <v>2</v>
      </c>
      <c r="F47" s="573" t="s">
        <v>130</v>
      </c>
      <c r="G47" s="575" t="s">
        <v>139</v>
      </c>
      <c r="H47" s="576"/>
      <c r="I47" s="575" t="s">
        <v>140</v>
      </c>
      <c r="J47" s="576"/>
      <c r="K47" s="577" t="s">
        <v>251</v>
      </c>
      <c r="L47" s="577" t="s">
        <v>252</v>
      </c>
      <c r="M47" s="585" t="s">
        <v>253</v>
      </c>
    </row>
    <row r="48" spans="5:13" x14ac:dyDescent="0.2">
      <c r="E48" s="572"/>
      <c r="F48" s="574"/>
      <c r="G48" s="222" t="s">
        <v>135</v>
      </c>
      <c r="H48" s="222" t="s">
        <v>136</v>
      </c>
      <c r="I48" s="222" t="s">
        <v>137</v>
      </c>
      <c r="J48" s="222" t="s">
        <v>138</v>
      </c>
      <c r="K48" s="578"/>
      <c r="L48" s="578"/>
      <c r="M48" s="586"/>
    </row>
    <row r="49" spans="5:13" x14ac:dyDescent="0.2">
      <c r="E49" s="226">
        <f t="shared" ref="E49:E91" si="8">E3</f>
        <v>2007</v>
      </c>
      <c r="F49" s="227">
        <f t="shared" ref="F49:L89" si="9">F3</f>
        <v>-12</v>
      </c>
      <c r="G49" s="37"/>
      <c r="H49" s="37"/>
      <c r="I49" s="37"/>
      <c r="J49" s="37"/>
      <c r="K49" s="37">
        <f t="shared" ref="K49:M58" si="10">ROUND(K3,-3)</f>
        <v>185000</v>
      </c>
      <c r="L49" s="37">
        <f t="shared" si="10"/>
        <v>306000</v>
      </c>
      <c r="M49" s="177">
        <f t="shared" si="10"/>
        <v>491000</v>
      </c>
    </row>
    <row r="50" spans="5:13" x14ac:dyDescent="0.2">
      <c r="E50" s="226">
        <f t="shared" si="8"/>
        <v>2008</v>
      </c>
      <c r="F50" s="227">
        <f t="shared" si="9"/>
        <v>-11</v>
      </c>
      <c r="G50" s="37"/>
      <c r="H50" s="37"/>
      <c r="I50" s="37"/>
      <c r="J50" s="37"/>
      <c r="K50" s="37">
        <f t="shared" si="10"/>
        <v>287000</v>
      </c>
      <c r="L50" s="37">
        <f t="shared" si="10"/>
        <v>317000</v>
      </c>
      <c r="M50" s="177">
        <f t="shared" si="10"/>
        <v>604000</v>
      </c>
    </row>
    <row r="51" spans="5:13" x14ac:dyDescent="0.2">
      <c r="E51" s="226">
        <f t="shared" si="8"/>
        <v>2009</v>
      </c>
      <c r="F51" s="227">
        <f t="shared" si="9"/>
        <v>-10</v>
      </c>
      <c r="G51" s="37"/>
      <c r="H51" s="37"/>
      <c r="I51" s="37"/>
      <c r="J51" s="37"/>
      <c r="K51" s="37">
        <f t="shared" si="10"/>
        <v>155000</v>
      </c>
      <c r="L51" s="37">
        <f t="shared" si="10"/>
        <v>386000</v>
      </c>
      <c r="M51" s="177">
        <f t="shared" si="10"/>
        <v>541000</v>
      </c>
    </row>
    <row r="52" spans="5:13" x14ac:dyDescent="0.2">
      <c r="E52" s="226">
        <f t="shared" si="8"/>
        <v>2010</v>
      </c>
      <c r="F52" s="227">
        <f t="shared" si="9"/>
        <v>-9</v>
      </c>
      <c r="G52" s="37"/>
      <c r="H52" s="37"/>
      <c r="I52" s="37"/>
      <c r="J52" s="37"/>
      <c r="K52" s="37">
        <f t="shared" si="10"/>
        <v>271000</v>
      </c>
      <c r="L52" s="37">
        <f t="shared" si="10"/>
        <v>382000</v>
      </c>
      <c r="M52" s="177">
        <f t="shared" si="10"/>
        <v>653000</v>
      </c>
    </row>
    <row r="53" spans="5:13" x14ac:dyDescent="0.2">
      <c r="E53" s="226">
        <f t="shared" si="8"/>
        <v>2011</v>
      </c>
      <c r="F53" s="227">
        <f t="shared" si="9"/>
        <v>-8</v>
      </c>
      <c r="G53" s="37"/>
      <c r="H53" s="37"/>
      <c r="I53" s="37"/>
      <c r="J53" s="37"/>
      <c r="K53" s="37">
        <f t="shared" si="10"/>
        <v>348000</v>
      </c>
      <c r="L53" s="37">
        <f t="shared" si="10"/>
        <v>482000</v>
      </c>
      <c r="M53" s="177">
        <f t="shared" si="10"/>
        <v>830000</v>
      </c>
    </row>
    <row r="54" spans="5:13" x14ac:dyDescent="0.2">
      <c r="E54" s="226">
        <f t="shared" si="8"/>
        <v>2012</v>
      </c>
      <c r="F54" s="227">
        <f t="shared" si="9"/>
        <v>-7</v>
      </c>
      <c r="G54" s="37"/>
      <c r="H54" s="37"/>
      <c r="I54" s="37"/>
      <c r="J54" s="37"/>
      <c r="K54" s="37">
        <f t="shared" si="10"/>
        <v>355000</v>
      </c>
      <c r="L54" s="37">
        <f t="shared" si="10"/>
        <v>455000</v>
      </c>
      <c r="M54" s="177">
        <f t="shared" si="10"/>
        <v>809000</v>
      </c>
    </row>
    <row r="55" spans="5:13" x14ac:dyDescent="0.2">
      <c r="E55" s="226">
        <f t="shared" si="8"/>
        <v>2013</v>
      </c>
      <c r="F55" s="227">
        <f t="shared" si="9"/>
        <v>-6</v>
      </c>
      <c r="G55" s="37"/>
      <c r="H55" s="37"/>
      <c r="I55" s="37"/>
      <c r="J55" s="37"/>
      <c r="K55" s="37">
        <f t="shared" si="10"/>
        <v>182000</v>
      </c>
      <c r="L55" s="37">
        <f t="shared" si="10"/>
        <v>583000</v>
      </c>
      <c r="M55" s="177">
        <f t="shared" si="10"/>
        <v>765000</v>
      </c>
    </row>
    <row r="56" spans="5:13" x14ac:dyDescent="0.2">
      <c r="E56" s="226">
        <f t="shared" si="8"/>
        <v>2014</v>
      </c>
      <c r="F56" s="227">
        <f t="shared" si="9"/>
        <v>-5</v>
      </c>
      <c r="G56" s="37"/>
      <c r="H56" s="37"/>
      <c r="I56" s="37"/>
      <c r="J56" s="37"/>
      <c r="K56" s="37">
        <f t="shared" si="10"/>
        <v>26000</v>
      </c>
      <c r="L56" s="37">
        <f t="shared" si="10"/>
        <v>1493000</v>
      </c>
      <c r="M56" s="177">
        <f t="shared" si="10"/>
        <v>1519000</v>
      </c>
    </row>
    <row r="57" spans="5:13" x14ac:dyDescent="0.2">
      <c r="E57" s="226">
        <f t="shared" si="8"/>
        <v>2015</v>
      </c>
      <c r="F57" s="227">
        <f t="shared" si="9"/>
        <v>-4</v>
      </c>
      <c r="G57" s="37"/>
      <c r="H57" s="37"/>
      <c r="I57" s="37"/>
      <c r="J57" s="37"/>
      <c r="K57" s="37">
        <f t="shared" si="10"/>
        <v>849000</v>
      </c>
      <c r="L57" s="37">
        <f t="shared" si="10"/>
        <v>1351000</v>
      </c>
      <c r="M57" s="177">
        <f t="shared" si="10"/>
        <v>2200000</v>
      </c>
    </row>
    <row r="58" spans="5:13" x14ac:dyDescent="0.2">
      <c r="E58" s="226">
        <f t="shared" si="8"/>
        <v>2016</v>
      </c>
      <c r="F58" s="227">
        <f t="shared" si="9"/>
        <v>-3</v>
      </c>
      <c r="G58" s="37"/>
      <c r="H58" s="37"/>
      <c r="I58" s="37"/>
      <c r="J58" s="37"/>
      <c r="K58" s="37">
        <f t="shared" si="10"/>
        <v>478000</v>
      </c>
      <c r="L58" s="37">
        <f t="shared" si="10"/>
        <v>752000</v>
      </c>
      <c r="M58" s="177">
        <f t="shared" si="10"/>
        <v>1230000</v>
      </c>
    </row>
    <row r="59" spans="5:13" x14ac:dyDescent="0.2">
      <c r="E59" s="226">
        <f t="shared" si="8"/>
        <v>2017</v>
      </c>
      <c r="F59" s="227">
        <f t="shared" si="9"/>
        <v>-2</v>
      </c>
      <c r="G59" s="229" t="str">
        <f t="shared" si="9"/>
        <v>N/A</v>
      </c>
      <c r="H59" s="229" t="str">
        <f t="shared" si="9"/>
        <v>N/A</v>
      </c>
      <c r="I59" s="229" t="str">
        <f t="shared" si="9"/>
        <v>N/A</v>
      </c>
      <c r="J59" s="229" t="str">
        <f t="shared" si="9"/>
        <v>N/A</v>
      </c>
      <c r="K59" s="229" t="str">
        <f t="shared" si="9"/>
        <v>N/A</v>
      </c>
      <c r="L59" s="229" t="str">
        <f t="shared" si="9"/>
        <v>N/A</v>
      </c>
      <c r="M59" s="177">
        <f t="shared" ref="M59:M91" si="11">ROUND(M13,-3)</f>
        <v>1337000</v>
      </c>
    </row>
    <row r="60" spans="5:13" x14ac:dyDescent="0.2">
      <c r="E60" s="226">
        <f t="shared" si="8"/>
        <v>2018</v>
      </c>
      <c r="F60" s="227">
        <f t="shared" si="9"/>
        <v>-1</v>
      </c>
      <c r="G60" s="229" t="str">
        <f t="shared" si="9"/>
        <v>N/A</v>
      </c>
      <c r="H60" s="229" t="str">
        <f t="shared" si="9"/>
        <v>N/A</v>
      </c>
      <c r="I60" s="229" t="str">
        <f t="shared" si="9"/>
        <v>N/A</v>
      </c>
      <c r="J60" s="229" t="str">
        <f t="shared" si="9"/>
        <v>N/A</v>
      </c>
      <c r="K60" s="229" t="str">
        <f t="shared" si="9"/>
        <v>N/A</v>
      </c>
      <c r="L60" s="229" t="str">
        <f t="shared" si="9"/>
        <v>N/A</v>
      </c>
      <c r="M60" s="177">
        <f t="shared" si="11"/>
        <v>1454000</v>
      </c>
    </row>
    <row r="61" spans="5:13" x14ac:dyDescent="0.2">
      <c r="E61" s="226">
        <f t="shared" si="8"/>
        <v>2019</v>
      </c>
      <c r="F61" s="227">
        <f t="shared" si="9"/>
        <v>0</v>
      </c>
      <c r="G61" s="229" t="str">
        <f t="shared" si="9"/>
        <v>N/A</v>
      </c>
      <c r="H61" s="229" t="str">
        <f t="shared" si="9"/>
        <v>N/A</v>
      </c>
      <c r="I61" s="229" t="str">
        <f t="shared" si="9"/>
        <v>N/A</v>
      </c>
      <c r="J61" s="229" t="str">
        <f t="shared" si="9"/>
        <v>N/A</v>
      </c>
      <c r="K61" s="229" t="str">
        <f t="shared" si="9"/>
        <v>N/A</v>
      </c>
      <c r="L61" s="229" t="str">
        <f t="shared" si="9"/>
        <v>N/A</v>
      </c>
      <c r="M61" s="177">
        <f t="shared" si="11"/>
        <v>1581000</v>
      </c>
    </row>
    <row r="62" spans="5:13" x14ac:dyDescent="0.2">
      <c r="E62" s="226">
        <f t="shared" si="8"/>
        <v>2020</v>
      </c>
      <c r="F62" s="227">
        <f t="shared" si="9"/>
        <v>1</v>
      </c>
      <c r="G62" s="229" t="str">
        <f t="shared" si="9"/>
        <v>N/A</v>
      </c>
      <c r="H62" s="229" t="str">
        <f t="shared" si="9"/>
        <v>N/A</v>
      </c>
      <c r="I62" s="229" t="str">
        <f t="shared" si="9"/>
        <v>N/A</v>
      </c>
      <c r="J62" s="229" t="str">
        <f t="shared" si="9"/>
        <v>N/A</v>
      </c>
      <c r="K62" s="229" t="str">
        <f t="shared" si="9"/>
        <v>N/A</v>
      </c>
      <c r="L62" s="229" t="str">
        <f t="shared" si="9"/>
        <v>N/A</v>
      </c>
      <c r="M62" s="177">
        <f t="shared" si="11"/>
        <v>1719000</v>
      </c>
    </row>
    <row r="63" spans="5:13" x14ac:dyDescent="0.2">
      <c r="E63" s="226">
        <f t="shared" si="8"/>
        <v>2021</v>
      </c>
      <c r="F63" s="227">
        <f t="shared" si="9"/>
        <v>2</v>
      </c>
      <c r="G63" s="229" t="str">
        <f t="shared" si="9"/>
        <v>N/A</v>
      </c>
      <c r="H63" s="229" t="str">
        <f t="shared" si="9"/>
        <v>N/A</v>
      </c>
      <c r="I63" s="229" t="str">
        <f t="shared" si="9"/>
        <v>N/A</v>
      </c>
      <c r="J63" s="229" t="str">
        <f t="shared" si="9"/>
        <v>N/A</v>
      </c>
      <c r="K63" s="229" t="str">
        <f t="shared" si="9"/>
        <v>N/A</v>
      </c>
      <c r="L63" s="229" t="str">
        <f t="shared" si="9"/>
        <v>N/A</v>
      </c>
      <c r="M63" s="177">
        <f t="shared" si="11"/>
        <v>1869000</v>
      </c>
    </row>
    <row r="64" spans="5:13" x14ac:dyDescent="0.2">
      <c r="E64" s="226">
        <f t="shared" si="8"/>
        <v>2022</v>
      </c>
      <c r="F64" s="227">
        <f t="shared" si="9"/>
        <v>3</v>
      </c>
      <c r="G64" s="229" t="str">
        <f t="shared" si="9"/>
        <v>N/A</v>
      </c>
      <c r="H64" s="229" t="str">
        <f t="shared" si="9"/>
        <v>N/A</v>
      </c>
      <c r="I64" s="229" t="str">
        <f t="shared" si="9"/>
        <v>N/A</v>
      </c>
      <c r="J64" s="229" t="str">
        <f t="shared" si="9"/>
        <v>N/A</v>
      </c>
      <c r="K64" s="229" t="str">
        <f t="shared" si="9"/>
        <v>N/A</v>
      </c>
      <c r="L64" s="229" t="str">
        <f t="shared" si="9"/>
        <v>N/A</v>
      </c>
      <c r="M64" s="177">
        <f t="shared" si="11"/>
        <v>1869000</v>
      </c>
    </row>
    <row r="65" spans="5:13" x14ac:dyDescent="0.2">
      <c r="E65" s="226">
        <f t="shared" si="8"/>
        <v>2023</v>
      </c>
      <c r="F65" s="227">
        <f t="shared" si="9"/>
        <v>4</v>
      </c>
      <c r="G65" s="229" t="str">
        <f t="shared" si="9"/>
        <v>N/A</v>
      </c>
      <c r="H65" s="229" t="str">
        <f t="shared" si="9"/>
        <v>N/A</v>
      </c>
      <c r="I65" s="229" t="str">
        <f t="shared" si="9"/>
        <v>N/A</v>
      </c>
      <c r="J65" s="229" t="str">
        <f t="shared" si="9"/>
        <v>N/A</v>
      </c>
      <c r="K65" s="229" t="str">
        <f t="shared" si="9"/>
        <v>N/A</v>
      </c>
      <c r="L65" s="229" t="str">
        <f t="shared" si="9"/>
        <v>N/A</v>
      </c>
      <c r="M65" s="177">
        <f t="shared" si="11"/>
        <v>1869000</v>
      </c>
    </row>
    <row r="66" spans="5:13" x14ac:dyDescent="0.2">
      <c r="E66" s="226">
        <f t="shared" si="8"/>
        <v>2024</v>
      </c>
      <c r="F66" s="227">
        <f t="shared" si="9"/>
        <v>5</v>
      </c>
      <c r="G66" s="229" t="str">
        <f t="shared" si="9"/>
        <v>N/A</v>
      </c>
      <c r="H66" s="229" t="str">
        <f t="shared" si="9"/>
        <v>N/A</v>
      </c>
      <c r="I66" s="229" t="str">
        <f t="shared" si="9"/>
        <v>N/A</v>
      </c>
      <c r="J66" s="229" t="str">
        <f t="shared" si="9"/>
        <v>N/A</v>
      </c>
      <c r="K66" s="229" t="str">
        <f t="shared" si="9"/>
        <v>N/A</v>
      </c>
      <c r="L66" s="229" t="str">
        <f t="shared" si="9"/>
        <v>N/A</v>
      </c>
      <c r="M66" s="177">
        <f t="shared" si="11"/>
        <v>1869000</v>
      </c>
    </row>
    <row r="67" spans="5:13" x14ac:dyDescent="0.2">
      <c r="E67" s="226">
        <f t="shared" si="8"/>
        <v>2025</v>
      </c>
      <c r="F67" s="227">
        <f t="shared" si="9"/>
        <v>6</v>
      </c>
      <c r="G67" s="229" t="str">
        <f t="shared" si="9"/>
        <v>N/A</v>
      </c>
      <c r="H67" s="229" t="str">
        <f t="shared" si="9"/>
        <v>N/A</v>
      </c>
      <c r="I67" s="229" t="str">
        <f t="shared" si="9"/>
        <v>N/A</v>
      </c>
      <c r="J67" s="229" t="str">
        <f t="shared" si="9"/>
        <v>N/A</v>
      </c>
      <c r="K67" s="229" t="str">
        <f t="shared" si="9"/>
        <v>N/A</v>
      </c>
      <c r="L67" s="229" t="str">
        <f t="shared" si="9"/>
        <v>N/A</v>
      </c>
      <c r="M67" s="177">
        <f t="shared" si="11"/>
        <v>1869000</v>
      </c>
    </row>
    <row r="68" spans="5:13" x14ac:dyDescent="0.2">
      <c r="E68" s="226">
        <f t="shared" si="8"/>
        <v>2026</v>
      </c>
      <c r="F68" s="227">
        <f t="shared" si="9"/>
        <v>7</v>
      </c>
      <c r="G68" s="229" t="str">
        <f t="shared" si="9"/>
        <v>N/A</v>
      </c>
      <c r="H68" s="229" t="str">
        <f t="shared" si="9"/>
        <v>N/A</v>
      </c>
      <c r="I68" s="229" t="str">
        <f t="shared" si="9"/>
        <v>N/A</v>
      </c>
      <c r="J68" s="229" t="str">
        <f t="shared" si="9"/>
        <v>N/A</v>
      </c>
      <c r="K68" s="229" t="str">
        <f t="shared" si="9"/>
        <v>N/A</v>
      </c>
      <c r="L68" s="229" t="str">
        <f t="shared" si="9"/>
        <v>N/A</v>
      </c>
      <c r="M68" s="177">
        <f t="shared" si="11"/>
        <v>1869000</v>
      </c>
    </row>
    <row r="69" spans="5:13" x14ac:dyDescent="0.2">
      <c r="E69" s="226">
        <f t="shared" si="8"/>
        <v>2027</v>
      </c>
      <c r="F69" s="227">
        <f t="shared" si="9"/>
        <v>8</v>
      </c>
      <c r="G69" s="229" t="str">
        <f t="shared" si="9"/>
        <v>N/A</v>
      </c>
      <c r="H69" s="229" t="str">
        <f t="shared" si="9"/>
        <v>N/A</v>
      </c>
      <c r="I69" s="229" t="str">
        <f t="shared" si="9"/>
        <v>N/A</v>
      </c>
      <c r="J69" s="229" t="str">
        <f t="shared" si="9"/>
        <v>N/A</v>
      </c>
      <c r="K69" s="229" t="str">
        <f t="shared" si="9"/>
        <v>N/A</v>
      </c>
      <c r="L69" s="229" t="str">
        <f t="shared" si="9"/>
        <v>N/A</v>
      </c>
      <c r="M69" s="177">
        <f t="shared" si="11"/>
        <v>1869000</v>
      </c>
    </row>
    <row r="70" spans="5:13" x14ac:dyDescent="0.2">
      <c r="E70" s="226">
        <f t="shared" si="8"/>
        <v>2028</v>
      </c>
      <c r="F70" s="227">
        <f t="shared" si="9"/>
        <v>9</v>
      </c>
      <c r="G70" s="229" t="str">
        <f t="shared" si="9"/>
        <v>N/A</v>
      </c>
      <c r="H70" s="229" t="str">
        <f t="shared" si="9"/>
        <v>N/A</v>
      </c>
      <c r="I70" s="229" t="str">
        <f t="shared" si="9"/>
        <v>N/A</v>
      </c>
      <c r="J70" s="229" t="str">
        <f t="shared" si="9"/>
        <v>N/A</v>
      </c>
      <c r="K70" s="229" t="str">
        <f t="shared" si="9"/>
        <v>N/A</v>
      </c>
      <c r="L70" s="229" t="str">
        <f t="shared" si="9"/>
        <v>N/A</v>
      </c>
      <c r="M70" s="177">
        <f t="shared" si="11"/>
        <v>1869000</v>
      </c>
    </row>
    <row r="71" spans="5:13" x14ac:dyDescent="0.2">
      <c r="E71" s="226">
        <f t="shared" si="8"/>
        <v>2029</v>
      </c>
      <c r="F71" s="227">
        <f t="shared" si="9"/>
        <v>10</v>
      </c>
      <c r="G71" s="229" t="str">
        <f t="shared" si="9"/>
        <v>N/A</v>
      </c>
      <c r="H71" s="229" t="str">
        <f t="shared" si="9"/>
        <v>N/A</v>
      </c>
      <c r="I71" s="229" t="str">
        <f t="shared" si="9"/>
        <v>N/A</v>
      </c>
      <c r="J71" s="229" t="str">
        <f t="shared" si="9"/>
        <v>N/A</v>
      </c>
      <c r="K71" s="229" t="str">
        <f t="shared" si="9"/>
        <v>N/A</v>
      </c>
      <c r="L71" s="229" t="str">
        <f t="shared" si="9"/>
        <v>N/A</v>
      </c>
      <c r="M71" s="177">
        <f t="shared" si="11"/>
        <v>1869000</v>
      </c>
    </row>
    <row r="72" spans="5:13" x14ac:dyDescent="0.2">
      <c r="E72" s="226">
        <f t="shared" si="8"/>
        <v>2030</v>
      </c>
      <c r="F72" s="227">
        <f t="shared" si="9"/>
        <v>11</v>
      </c>
      <c r="G72" s="229" t="str">
        <f t="shared" si="9"/>
        <v>N/A</v>
      </c>
      <c r="H72" s="229" t="str">
        <f t="shared" si="9"/>
        <v>N/A</v>
      </c>
      <c r="I72" s="229" t="str">
        <f t="shared" si="9"/>
        <v>N/A</v>
      </c>
      <c r="J72" s="229" t="str">
        <f t="shared" si="9"/>
        <v>N/A</v>
      </c>
      <c r="K72" s="229" t="str">
        <f t="shared" si="9"/>
        <v>N/A</v>
      </c>
      <c r="L72" s="229" t="str">
        <f t="shared" si="9"/>
        <v>N/A</v>
      </c>
      <c r="M72" s="177">
        <f t="shared" si="11"/>
        <v>1869000</v>
      </c>
    </row>
    <row r="73" spans="5:13" x14ac:dyDescent="0.2">
      <c r="E73" s="226">
        <f t="shared" si="8"/>
        <v>2031</v>
      </c>
      <c r="F73" s="227">
        <f t="shared" si="9"/>
        <v>12</v>
      </c>
      <c r="G73" s="229" t="str">
        <f t="shared" si="9"/>
        <v>N/A</v>
      </c>
      <c r="H73" s="229" t="str">
        <f t="shared" si="9"/>
        <v>N/A</v>
      </c>
      <c r="I73" s="229" t="str">
        <f t="shared" si="9"/>
        <v>N/A</v>
      </c>
      <c r="J73" s="229" t="str">
        <f t="shared" si="9"/>
        <v>N/A</v>
      </c>
      <c r="K73" s="229" t="str">
        <f t="shared" si="9"/>
        <v>N/A</v>
      </c>
      <c r="L73" s="229" t="str">
        <f t="shared" si="9"/>
        <v>N/A</v>
      </c>
      <c r="M73" s="177">
        <f t="shared" si="11"/>
        <v>1869000</v>
      </c>
    </row>
    <row r="74" spans="5:13" x14ac:dyDescent="0.2">
      <c r="E74" s="226">
        <f t="shared" si="8"/>
        <v>2032</v>
      </c>
      <c r="F74" s="227">
        <f t="shared" si="9"/>
        <v>13</v>
      </c>
      <c r="G74" s="229" t="str">
        <f t="shared" si="9"/>
        <v>N/A</v>
      </c>
      <c r="H74" s="229" t="str">
        <f t="shared" si="9"/>
        <v>N/A</v>
      </c>
      <c r="I74" s="229" t="str">
        <f t="shared" si="9"/>
        <v>N/A</v>
      </c>
      <c r="J74" s="229" t="str">
        <f t="shared" si="9"/>
        <v>N/A</v>
      </c>
      <c r="K74" s="229" t="str">
        <f t="shared" si="9"/>
        <v>N/A</v>
      </c>
      <c r="L74" s="229" t="str">
        <f t="shared" si="9"/>
        <v>N/A</v>
      </c>
      <c r="M74" s="177">
        <f t="shared" si="11"/>
        <v>1869000</v>
      </c>
    </row>
    <row r="75" spans="5:13" x14ac:dyDescent="0.2">
      <c r="E75" s="226">
        <f t="shared" si="8"/>
        <v>2033</v>
      </c>
      <c r="F75" s="227">
        <f t="shared" si="9"/>
        <v>14</v>
      </c>
      <c r="G75" s="229" t="str">
        <f t="shared" si="9"/>
        <v>N/A</v>
      </c>
      <c r="H75" s="229" t="str">
        <f t="shared" si="9"/>
        <v>N/A</v>
      </c>
      <c r="I75" s="229" t="str">
        <f t="shared" si="9"/>
        <v>N/A</v>
      </c>
      <c r="J75" s="229" t="str">
        <f t="shared" si="9"/>
        <v>N/A</v>
      </c>
      <c r="K75" s="229" t="str">
        <f t="shared" si="9"/>
        <v>N/A</v>
      </c>
      <c r="L75" s="229" t="str">
        <f t="shared" si="9"/>
        <v>N/A</v>
      </c>
      <c r="M75" s="177">
        <f t="shared" si="11"/>
        <v>1869000</v>
      </c>
    </row>
    <row r="76" spans="5:13" x14ac:dyDescent="0.2">
      <c r="E76" s="226">
        <f t="shared" si="8"/>
        <v>2034</v>
      </c>
      <c r="F76" s="227">
        <f t="shared" si="9"/>
        <v>15</v>
      </c>
      <c r="G76" s="229" t="str">
        <f t="shared" si="9"/>
        <v>N/A</v>
      </c>
      <c r="H76" s="229" t="str">
        <f t="shared" si="9"/>
        <v>N/A</v>
      </c>
      <c r="I76" s="229" t="str">
        <f t="shared" si="9"/>
        <v>N/A</v>
      </c>
      <c r="J76" s="229" t="str">
        <f t="shared" si="9"/>
        <v>N/A</v>
      </c>
      <c r="K76" s="229" t="str">
        <f t="shared" si="9"/>
        <v>N/A</v>
      </c>
      <c r="L76" s="229" t="str">
        <f t="shared" si="9"/>
        <v>N/A</v>
      </c>
      <c r="M76" s="177">
        <f t="shared" si="11"/>
        <v>1869000</v>
      </c>
    </row>
    <row r="77" spans="5:13" x14ac:dyDescent="0.2">
      <c r="E77" s="226">
        <f t="shared" si="8"/>
        <v>2035</v>
      </c>
      <c r="F77" s="227">
        <f t="shared" si="9"/>
        <v>16</v>
      </c>
      <c r="G77" s="229" t="str">
        <f t="shared" si="9"/>
        <v>N/A</v>
      </c>
      <c r="H77" s="229" t="str">
        <f t="shared" si="9"/>
        <v>N/A</v>
      </c>
      <c r="I77" s="229" t="str">
        <f t="shared" si="9"/>
        <v>N/A</v>
      </c>
      <c r="J77" s="229" t="str">
        <f t="shared" si="9"/>
        <v>N/A</v>
      </c>
      <c r="K77" s="229" t="str">
        <f t="shared" si="9"/>
        <v>N/A</v>
      </c>
      <c r="L77" s="229" t="str">
        <f t="shared" si="9"/>
        <v>N/A</v>
      </c>
      <c r="M77" s="177">
        <f t="shared" si="11"/>
        <v>1869000</v>
      </c>
    </row>
    <row r="78" spans="5:13" x14ac:dyDescent="0.2">
      <c r="E78" s="226">
        <f t="shared" si="8"/>
        <v>2036</v>
      </c>
      <c r="F78" s="227">
        <f t="shared" si="9"/>
        <v>17</v>
      </c>
      <c r="G78" s="229" t="str">
        <f t="shared" si="9"/>
        <v>N/A</v>
      </c>
      <c r="H78" s="229" t="str">
        <f t="shared" si="9"/>
        <v>N/A</v>
      </c>
      <c r="I78" s="229" t="str">
        <f t="shared" si="9"/>
        <v>N/A</v>
      </c>
      <c r="J78" s="229" t="str">
        <f t="shared" si="9"/>
        <v>N/A</v>
      </c>
      <c r="K78" s="229" t="str">
        <f t="shared" si="9"/>
        <v>N/A</v>
      </c>
      <c r="L78" s="229" t="str">
        <f t="shared" si="9"/>
        <v>N/A</v>
      </c>
      <c r="M78" s="177">
        <f t="shared" si="11"/>
        <v>1869000</v>
      </c>
    </row>
    <row r="79" spans="5:13" x14ac:dyDescent="0.2">
      <c r="E79" s="226">
        <f t="shared" si="8"/>
        <v>2037</v>
      </c>
      <c r="F79" s="227">
        <f t="shared" si="9"/>
        <v>18</v>
      </c>
      <c r="G79" s="229" t="str">
        <f t="shared" si="9"/>
        <v>N/A</v>
      </c>
      <c r="H79" s="229" t="str">
        <f t="shared" si="9"/>
        <v>N/A</v>
      </c>
      <c r="I79" s="229" t="str">
        <f t="shared" si="9"/>
        <v>N/A</v>
      </c>
      <c r="J79" s="229" t="str">
        <f t="shared" si="9"/>
        <v>N/A</v>
      </c>
      <c r="K79" s="229" t="str">
        <f t="shared" si="9"/>
        <v>N/A</v>
      </c>
      <c r="L79" s="229" t="str">
        <f t="shared" si="9"/>
        <v>N/A</v>
      </c>
      <c r="M79" s="177">
        <f t="shared" si="11"/>
        <v>1869000</v>
      </c>
    </row>
    <row r="80" spans="5:13" x14ac:dyDescent="0.2">
      <c r="E80" s="226">
        <f t="shared" si="8"/>
        <v>2038</v>
      </c>
      <c r="F80" s="227">
        <f t="shared" si="9"/>
        <v>19</v>
      </c>
      <c r="G80" s="229" t="str">
        <f t="shared" si="9"/>
        <v>N/A</v>
      </c>
      <c r="H80" s="229" t="str">
        <f t="shared" si="9"/>
        <v>N/A</v>
      </c>
      <c r="I80" s="229" t="str">
        <f t="shared" si="9"/>
        <v>N/A</v>
      </c>
      <c r="J80" s="229" t="str">
        <f t="shared" si="9"/>
        <v>N/A</v>
      </c>
      <c r="K80" s="229" t="str">
        <f t="shared" si="9"/>
        <v>N/A</v>
      </c>
      <c r="L80" s="229" t="str">
        <f t="shared" si="9"/>
        <v>N/A</v>
      </c>
      <c r="M80" s="177">
        <f t="shared" si="11"/>
        <v>1869000</v>
      </c>
    </row>
    <row r="81" spans="5:13" x14ac:dyDescent="0.2">
      <c r="E81" s="226">
        <f t="shared" si="8"/>
        <v>2039</v>
      </c>
      <c r="F81" s="227">
        <f t="shared" si="9"/>
        <v>20</v>
      </c>
      <c r="G81" s="229" t="str">
        <f t="shared" si="9"/>
        <v>N/A</v>
      </c>
      <c r="H81" s="229" t="str">
        <f t="shared" si="9"/>
        <v>N/A</v>
      </c>
      <c r="I81" s="229" t="str">
        <f t="shared" si="9"/>
        <v>N/A</v>
      </c>
      <c r="J81" s="229" t="str">
        <f t="shared" si="9"/>
        <v>N/A</v>
      </c>
      <c r="K81" s="229" t="str">
        <f t="shared" si="9"/>
        <v>N/A</v>
      </c>
      <c r="L81" s="229" t="str">
        <f t="shared" si="9"/>
        <v>N/A</v>
      </c>
      <c r="M81" s="177">
        <f t="shared" si="11"/>
        <v>1869000</v>
      </c>
    </row>
    <row r="82" spans="5:13" x14ac:dyDescent="0.2">
      <c r="E82" s="226">
        <f t="shared" si="8"/>
        <v>2040</v>
      </c>
      <c r="F82" s="227">
        <f t="shared" si="9"/>
        <v>21</v>
      </c>
      <c r="G82" s="229" t="str">
        <f t="shared" si="9"/>
        <v>N/A</v>
      </c>
      <c r="H82" s="229" t="str">
        <f t="shared" si="9"/>
        <v>N/A</v>
      </c>
      <c r="I82" s="229" t="str">
        <f t="shared" si="9"/>
        <v>N/A</v>
      </c>
      <c r="J82" s="229" t="str">
        <f t="shared" si="9"/>
        <v>N/A</v>
      </c>
      <c r="K82" s="229" t="str">
        <f t="shared" si="9"/>
        <v>N/A</v>
      </c>
      <c r="L82" s="229" t="str">
        <f t="shared" si="9"/>
        <v>N/A</v>
      </c>
      <c r="M82" s="177">
        <f t="shared" si="11"/>
        <v>1869000</v>
      </c>
    </row>
    <row r="83" spans="5:13" x14ac:dyDescent="0.2">
      <c r="E83" s="226">
        <f t="shared" si="8"/>
        <v>2041</v>
      </c>
      <c r="F83" s="227">
        <f t="shared" si="9"/>
        <v>22</v>
      </c>
      <c r="G83" s="229" t="str">
        <f t="shared" si="9"/>
        <v>N/A</v>
      </c>
      <c r="H83" s="229" t="str">
        <f t="shared" si="9"/>
        <v>N/A</v>
      </c>
      <c r="I83" s="229" t="str">
        <f t="shared" si="9"/>
        <v>N/A</v>
      </c>
      <c r="J83" s="229" t="str">
        <f t="shared" si="9"/>
        <v>N/A</v>
      </c>
      <c r="K83" s="229" t="str">
        <f t="shared" si="9"/>
        <v>N/A</v>
      </c>
      <c r="L83" s="229" t="str">
        <f t="shared" si="9"/>
        <v>N/A</v>
      </c>
      <c r="M83" s="177">
        <f t="shared" si="11"/>
        <v>1869000</v>
      </c>
    </row>
    <row r="84" spans="5:13" x14ac:dyDescent="0.2">
      <c r="E84" s="226">
        <f t="shared" si="8"/>
        <v>2042</v>
      </c>
      <c r="F84" s="227">
        <f t="shared" si="9"/>
        <v>23</v>
      </c>
      <c r="G84" s="229" t="str">
        <f t="shared" si="9"/>
        <v>N/A</v>
      </c>
      <c r="H84" s="229" t="str">
        <f t="shared" si="9"/>
        <v>N/A</v>
      </c>
      <c r="I84" s="229" t="str">
        <f t="shared" si="9"/>
        <v>N/A</v>
      </c>
      <c r="J84" s="229" t="str">
        <f t="shared" si="9"/>
        <v>N/A</v>
      </c>
      <c r="K84" s="229" t="str">
        <f t="shared" si="9"/>
        <v>N/A</v>
      </c>
      <c r="L84" s="229" t="str">
        <f t="shared" si="9"/>
        <v>N/A</v>
      </c>
      <c r="M84" s="177">
        <f t="shared" si="11"/>
        <v>1869000</v>
      </c>
    </row>
    <row r="85" spans="5:13" x14ac:dyDescent="0.2">
      <c r="E85" s="226">
        <f t="shared" si="8"/>
        <v>2043</v>
      </c>
      <c r="F85" s="227">
        <f t="shared" si="9"/>
        <v>24</v>
      </c>
      <c r="G85" s="229" t="str">
        <f t="shared" si="9"/>
        <v>N/A</v>
      </c>
      <c r="H85" s="229" t="str">
        <f t="shared" si="9"/>
        <v>N/A</v>
      </c>
      <c r="I85" s="229" t="str">
        <f t="shared" si="9"/>
        <v>N/A</v>
      </c>
      <c r="J85" s="229" t="str">
        <f t="shared" si="9"/>
        <v>N/A</v>
      </c>
      <c r="K85" s="229" t="str">
        <f t="shared" si="9"/>
        <v>N/A</v>
      </c>
      <c r="L85" s="229" t="str">
        <f t="shared" si="9"/>
        <v>N/A</v>
      </c>
      <c r="M85" s="177">
        <f t="shared" si="11"/>
        <v>1869000</v>
      </c>
    </row>
    <row r="86" spans="5:13" x14ac:dyDescent="0.2">
      <c r="E86" s="226">
        <f t="shared" si="8"/>
        <v>2044</v>
      </c>
      <c r="F86" s="227">
        <f t="shared" si="9"/>
        <v>25</v>
      </c>
      <c r="G86" s="229" t="str">
        <f t="shared" si="9"/>
        <v>N/A</v>
      </c>
      <c r="H86" s="229" t="str">
        <f t="shared" si="9"/>
        <v>N/A</v>
      </c>
      <c r="I86" s="229" t="str">
        <f t="shared" si="9"/>
        <v>N/A</v>
      </c>
      <c r="J86" s="229" t="str">
        <f t="shared" si="9"/>
        <v>N/A</v>
      </c>
      <c r="K86" s="229" t="str">
        <f t="shared" si="9"/>
        <v>N/A</v>
      </c>
      <c r="L86" s="229" t="str">
        <f t="shared" si="9"/>
        <v>N/A</v>
      </c>
      <c r="M86" s="177">
        <f t="shared" si="11"/>
        <v>1869000</v>
      </c>
    </row>
    <row r="87" spans="5:13" x14ac:dyDescent="0.2">
      <c r="E87" s="226">
        <f t="shared" si="8"/>
        <v>2045</v>
      </c>
      <c r="F87" s="227">
        <f t="shared" si="9"/>
        <v>26</v>
      </c>
      <c r="G87" s="229" t="str">
        <f t="shared" si="9"/>
        <v>N/A</v>
      </c>
      <c r="H87" s="229" t="str">
        <f t="shared" si="9"/>
        <v>N/A</v>
      </c>
      <c r="I87" s="229" t="str">
        <f t="shared" si="9"/>
        <v>N/A</v>
      </c>
      <c r="J87" s="229" t="str">
        <f t="shared" si="9"/>
        <v>N/A</v>
      </c>
      <c r="K87" s="229" t="str">
        <f t="shared" si="9"/>
        <v>N/A</v>
      </c>
      <c r="L87" s="229" t="str">
        <f t="shared" si="9"/>
        <v>N/A</v>
      </c>
      <c r="M87" s="177">
        <f t="shared" si="11"/>
        <v>1869000</v>
      </c>
    </row>
    <row r="88" spans="5:13" x14ac:dyDescent="0.2">
      <c r="E88" s="226">
        <f t="shared" si="8"/>
        <v>2046</v>
      </c>
      <c r="F88" s="227">
        <f t="shared" si="9"/>
        <v>27</v>
      </c>
      <c r="G88" s="229" t="str">
        <f t="shared" si="9"/>
        <v>N/A</v>
      </c>
      <c r="H88" s="229" t="str">
        <f t="shared" si="9"/>
        <v>N/A</v>
      </c>
      <c r="I88" s="229" t="str">
        <f t="shared" si="9"/>
        <v>N/A</v>
      </c>
      <c r="J88" s="229" t="str">
        <f t="shared" si="9"/>
        <v>N/A</v>
      </c>
      <c r="K88" s="229" t="str">
        <f t="shared" si="9"/>
        <v>N/A</v>
      </c>
      <c r="L88" s="229" t="str">
        <f t="shared" si="9"/>
        <v>N/A</v>
      </c>
      <c r="M88" s="177">
        <f t="shared" si="11"/>
        <v>1869000</v>
      </c>
    </row>
    <row r="89" spans="5:13" x14ac:dyDescent="0.2">
      <c r="E89" s="226">
        <f t="shared" si="8"/>
        <v>2047</v>
      </c>
      <c r="F89" s="227">
        <f t="shared" si="9"/>
        <v>28</v>
      </c>
      <c r="G89" s="229" t="str">
        <f t="shared" si="9"/>
        <v>N/A</v>
      </c>
      <c r="H89" s="229" t="str">
        <f t="shared" si="9"/>
        <v>N/A</v>
      </c>
      <c r="I89" s="229" t="str">
        <f t="shared" ref="F89:L91" si="12">I43</f>
        <v>N/A</v>
      </c>
      <c r="J89" s="229" t="str">
        <f t="shared" si="12"/>
        <v>N/A</v>
      </c>
      <c r="K89" s="229" t="str">
        <f t="shared" si="12"/>
        <v>N/A</v>
      </c>
      <c r="L89" s="229" t="str">
        <f t="shared" si="12"/>
        <v>N/A</v>
      </c>
      <c r="M89" s="177">
        <f t="shared" si="11"/>
        <v>1869000</v>
      </c>
    </row>
    <row r="90" spans="5:13" x14ac:dyDescent="0.2">
      <c r="E90" s="226">
        <f t="shared" si="8"/>
        <v>2048</v>
      </c>
      <c r="F90" s="227">
        <f t="shared" si="12"/>
        <v>29</v>
      </c>
      <c r="G90" s="229" t="str">
        <f t="shared" si="12"/>
        <v>N/A</v>
      </c>
      <c r="H90" s="229" t="str">
        <f t="shared" si="12"/>
        <v>N/A</v>
      </c>
      <c r="I90" s="229" t="str">
        <f t="shared" si="12"/>
        <v>N/A</v>
      </c>
      <c r="J90" s="229" t="str">
        <f t="shared" si="12"/>
        <v>N/A</v>
      </c>
      <c r="K90" s="229" t="str">
        <f t="shared" si="12"/>
        <v>N/A</v>
      </c>
      <c r="L90" s="229" t="str">
        <f t="shared" si="12"/>
        <v>N/A</v>
      </c>
      <c r="M90" s="177">
        <f t="shared" si="11"/>
        <v>1869000</v>
      </c>
    </row>
    <row r="91" spans="5:13" ht="13.5" thickBot="1" x14ac:dyDescent="0.25">
      <c r="E91" s="230">
        <f t="shared" si="8"/>
        <v>2049</v>
      </c>
      <c r="F91" s="231">
        <f t="shared" si="12"/>
        <v>30</v>
      </c>
      <c r="G91" s="232" t="str">
        <f t="shared" si="12"/>
        <v>N/A</v>
      </c>
      <c r="H91" s="232" t="str">
        <f t="shared" si="12"/>
        <v>N/A</v>
      </c>
      <c r="I91" s="232" t="str">
        <f t="shared" si="12"/>
        <v>N/A</v>
      </c>
      <c r="J91" s="232" t="str">
        <f t="shared" si="12"/>
        <v>N/A</v>
      </c>
      <c r="K91" s="232" t="str">
        <f t="shared" si="12"/>
        <v>N/A</v>
      </c>
      <c r="L91" s="232" t="str">
        <f t="shared" si="12"/>
        <v>N/A</v>
      </c>
      <c r="M91" s="233">
        <f t="shared" si="11"/>
        <v>1869000</v>
      </c>
    </row>
  </sheetData>
  <mergeCells count="17">
    <mergeCell ref="L47:L48"/>
    <mergeCell ref="M1:M2"/>
    <mergeCell ref="L1:L2"/>
    <mergeCell ref="K1:K2"/>
    <mergeCell ref="F1:F2"/>
    <mergeCell ref="M47:M48"/>
    <mergeCell ref="G1:H1"/>
    <mergeCell ref="A1:A2"/>
    <mergeCell ref="B1:B2"/>
    <mergeCell ref="C1:C2"/>
    <mergeCell ref="E1:E2"/>
    <mergeCell ref="I1:J1"/>
    <mergeCell ref="E47:E48"/>
    <mergeCell ref="F47:F48"/>
    <mergeCell ref="G47:H47"/>
    <mergeCell ref="I47:J47"/>
    <mergeCell ref="K47:K48"/>
  </mergeCells>
  <pageMargins left="0.25" right="0.25" top="0.75" bottom="0.75" header="0.3" footer="0.3"/>
  <pageSetup orientation="portrait" horizontalDpi="300" verticalDpi="0"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election activeCell="A2" sqref="A2"/>
    </sheetView>
  </sheetViews>
  <sheetFormatPr defaultRowHeight="12" x14ac:dyDescent="0.2"/>
  <cols>
    <col min="1" max="2" width="8.7109375" style="235" customWidth="1"/>
    <col min="3" max="3" width="9.140625" style="236"/>
    <col min="4" max="6" width="9.140625" style="237"/>
    <col min="7" max="8" width="9.140625" style="238"/>
    <col min="9" max="9" width="9.140625" style="239"/>
    <col min="10" max="16384" width="9.140625" style="236"/>
  </cols>
  <sheetData>
    <row r="1" spans="1:9" ht="12.75" thickBot="1" x14ac:dyDescent="0.25"/>
    <row r="2" spans="1:9" s="245" customFormat="1" ht="60" x14ac:dyDescent="0.2">
      <c r="A2" s="240" t="s">
        <v>130</v>
      </c>
      <c r="B2" s="101" t="s">
        <v>2</v>
      </c>
      <c r="C2" s="101" t="s">
        <v>352</v>
      </c>
      <c r="D2" s="241" t="s">
        <v>147</v>
      </c>
      <c r="E2" s="241" t="s">
        <v>148</v>
      </c>
      <c r="F2" s="241" t="s">
        <v>149</v>
      </c>
      <c r="G2" s="242" t="s">
        <v>150</v>
      </c>
      <c r="H2" s="243" t="s">
        <v>151</v>
      </c>
      <c r="I2" s="244"/>
    </row>
    <row r="3" spans="1:9" x14ac:dyDescent="0.2">
      <c r="A3" s="246">
        <v>-1</v>
      </c>
      <c r="B3" s="70">
        <v>2018</v>
      </c>
      <c r="C3" s="9">
        <f>'T4 Globalplex Cargo'!M14</f>
        <v>1454056.8824204358</v>
      </c>
      <c r="D3" s="9">
        <f>C3/'T3 Inputs'!$B$6</f>
        <v>85532.757789437397</v>
      </c>
      <c r="E3" s="9">
        <f>D3</f>
        <v>85532.757789437397</v>
      </c>
      <c r="F3" s="9">
        <f>D3*'T3 Inputs'!$B$9</f>
        <v>256598.27336831219</v>
      </c>
      <c r="G3" s="247">
        <f>F3</f>
        <v>256598.27336831219</v>
      </c>
      <c r="H3" s="248">
        <f>F3-G3</f>
        <v>0</v>
      </c>
    </row>
    <row r="4" spans="1:9" x14ac:dyDescent="0.2">
      <c r="A4" s="246">
        <f>A3+1</f>
        <v>0</v>
      </c>
      <c r="B4" s="70">
        <f>B3+1</f>
        <v>2019</v>
      </c>
      <c r="C4" s="9">
        <f>'T4 Globalplex Cargo'!M15</f>
        <v>1581028.3666856978</v>
      </c>
      <c r="D4" s="9">
        <f>C4/'T3 Inputs'!$B$6</f>
        <v>93001.668628570464</v>
      </c>
      <c r="E4" s="9">
        <f>D4</f>
        <v>93001.668628570464</v>
      </c>
      <c r="F4" s="9">
        <f>D4*'T3 Inputs'!$B$9</f>
        <v>279005.00588571141</v>
      </c>
      <c r="G4" s="247">
        <f>F4</f>
        <v>279005.00588571141</v>
      </c>
      <c r="H4" s="248">
        <f t="shared" ref="H4:H34" si="0">F4-G4</f>
        <v>0</v>
      </c>
    </row>
    <row r="5" spans="1:9" x14ac:dyDescent="0.2">
      <c r="A5" s="246">
        <f t="shared" ref="A5:A34" si="1">A4+1</f>
        <v>1</v>
      </c>
      <c r="B5" s="70">
        <f t="shared" ref="B5:B34" si="2">B4+1</f>
        <v>2020</v>
      </c>
      <c r="C5" s="9">
        <f>'T4 Globalplex Cargo'!M16</f>
        <v>1719087.2836445745</v>
      </c>
      <c r="D5" s="9">
        <f>C5/'T3 Inputs'!$B$6</f>
        <v>101122.78139085732</v>
      </c>
      <c r="E5" s="9">
        <f>C5/'T3 Inputs'!$B$7</f>
        <v>34381.745672891491</v>
      </c>
      <c r="F5" s="9">
        <f>D5*'T3 Inputs'!$B$9</f>
        <v>303368.34417257196</v>
      </c>
      <c r="G5" s="247">
        <f>E5*'T3 Inputs'!$B$10</f>
        <v>99707.062451385325</v>
      </c>
      <c r="H5" s="248">
        <f t="shared" si="0"/>
        <v>203661.28172118665</v>
      </c>
    </row>
    <row r="6" spans="1:9" x14ac:dyDescent="0.2">
      <c r="A6" s="246">
        <f t="shared" si="1"/>
        <v>2</v>
      </c>
      <c r="B6" s="70">
        <f t="shared" si="2"/>
        <v>2021</v>
      </c>
      <c r="C6" s="9">
        <f>'T4 Globalplex Cargo'!M17</f>
        <v>1869201.8126047803</v>
      </c>
      <c r="D6" s="9">
        <f>C6/'T3 Inputs'!$B$6</f>
        <v>109953.0478002812</v>
      </c>
      <c r="E6" s="9">
        <f>C6/'T3 Inputs'!$B$7</f>
        <v>37384.036252095604</v>
      </c>
      <c r="F6" s="9">
        <f>D6*'T3 Inputs'!$B$9</f>
        <v>329859.1434008436</v>
      </c>
      <c r="G6" s="247">
        <f>E6*'T3 Inputs'!$B$10</f>
        <v>108413.70513107725</v>
      </c>
      <c r="H6" s="248">
        <f t="shared" si="0"/>
        <v>221445.43826976634</v>
      </c>
    </row>
    <row r="7" spans="1:9" x14ac:dyDescent="0.2">
      <c r="A7" s="246">
        <f t="shared" si="1"/>
        <v>3</v>
      </c>
      <c r="B7" s="70">
        <f t="shared" si="2"/>
        <v>2022</v>
      </c>
      <c r="C7" s="9">
        <f>'T4 Globalplex Cargo'!M18</f>
        <v>1869201.8126047803</v>
      </c>
      <c r="D7" s="9">
        <f>C7/'T3 Inputs'!$B$6</f>
        <v>109953.0478002812</v>
      </c>
      <c r="E7" s="9">
        <f>C7/'T3 Inputs'!$B$7</f>
        <v>37384.036252095604</v>
      </c>
      <c r="F7" s="9">
        <f>D7*'T3 Inputs'!$B$9</f>
        <v>329859.1434008436</v>
      </c>
      <c r="G7" s="247">
        <f>E7*'T3 Inputs'!$B$10</f>
        <v>108413.70513107725</v>
      </c>
      <c r="H7" s="248">
        <f t="shared" si="0"/>
        <v>221445.43826976634</v>
      </c>
    </row>
    <row r="8" spans="1:9" x14ac:dyDescent="0.2">
      <c r="A8" s="246">
        <f t="shared" si="1"/>
        <v>4</v>
      </c>
      <c r="B8" s="70">
        <f t="shared" si="2"/>
        <v>2023</v>
      </c>
      <c r="C8" s="9">
        <f>'T4 Globalplex Cargo'!M19</f>
        <v>1869201.8126047803</v>
      </c>
      <c r="D8" s="9">
        <f>C8/'T3 Inputs'!$B$6</f>
        <v>109953.0478002812</v>
      </c>
      <c r="E8" s="9">
        <f>C8/'T3 Inputs'!$B$7</f>
        <v>37384.036252095604</v>
      </c>
      <c r="F8" s="9">
        <f>D8*'T3 Inputs'!$B$9</f>
        <v>329859.1434008436</v>
      </c>
      <c r="G8" s="247">
        <f>E8*'T3 Inputs'!$B$10</f>
        <v>108413.70513107725</v>
      </c>
      <c r="H8" s="248">
        <f t="shared" si="0"/>
        <v>221445.43826976634</v>
      </c>
    </row>
    <row r="9" spans="1:9" x14ac:dyDescent="0.2">
      <c r="A9" s="246">
        <f t="shared" si="1"/>
        <v>5</v>
      </c>
      <c r="B9" s="70">
        <f t="shared" si="2"/>
        <v>2024</v>
      </c>
      <c r="C9" s="9">
        <f>'T4 Globalplex Cargo'!M20</f>
        <v>1869201.8126047803</v>
      </c>
      <c r="D9" s="9">
        <f>C9/'T3 Inputs'!$B$6</f>
        <v>109953.0478002812</v>
      </c>
      <c r="E9" s="9">
        <f>C9/'T3 Inputs'!$B$7</f>
        <v>37384.036252095604</v>
      </c>
      <c r="F9" s="9">
        <f>D9*'T3 Inputs'!$B$9</f>
        <v>329859.1434008436</v>
      </c>
      <c r="G9" s="247">
        <f>E9*'T3 Inputs'!$B$10</f>
        <v>108413.70513107725</v>
      </c>
      <c r="H9" s="248">
        <f t="shared" si="0"/>
        <v>221445.43826976634</v>
      </c>
    </row>
    <row r="10" spans="1:9" x14ac:dyDescent="0.2">
      <c r="A10" s="246">
        <f t="shared" si="1"/>
        <v>6</v>
      </c>
      <c r="B10" s="70">
        <f t="shared" si="2"/>
        <v>2025</v>
      </c>
      <c r="C10" s="9">
        <f>'T4 Globalplex Cargo'!M21</f>
        <v>1869201.8126047803</v>
      </c>
      <c r="D10" s="9">
        <f>C10/'T3 Inputs'!$B$6</f>
        <v>109953.0478002812</v>
      </c>
      <c r="E10" s="9">
        <f>C10/'T3 Inputs'!$B$7</f>
        <v>37384.036252095604</v>
      </c>
      <c r="F10" s="9">
        <f>D10*'T3 Inputs'!$B$9</f>
        <v>329859.1434008436</v>
      </c>
      <c r="G10" s="247">
        <f>E10*'T3 Inputs'!$B$10</f>
        <v>108413.70513107725</v>
      </c>
      <c r="H10" s="248">
        <f t="shared" si="0"/>
        <v>221445.43826976634</v>
      </c>
    </row>
    <row r="11" spans="1:9" x14ac:dyDescent="0.2">
      <c r="A11" s="246">
        <f t="shared" si="1"/>
        <v>7</v>
      </c>
      <c r="B11" s="70">
        <f t="shared" si="2"/>
        <v>2026</v>
      </c>
      <c r="C11" s="9">
        <f>'T4 Globalplex Cargo'!M22</f>
        <v>1869201.8126047803</v>
      </c>
      <c r="D11" s="9">
        <f>C11/'T3 Inputs'!$B$6</f>
        <v>109953.0478002812</v>
      </c>
      <c r="E11" s="9">
        <f>C11/'T3 Inputs'!$B$7</f>
        <v>37384.036252095604</v>
      </c>
      <c r="F11" s="9">
        <f>D11*'T3 Inputs'!$B$9</f>
        <v>329859.1434008436</v>
      </c>
      <c r="G11" s="247">
        <f>E11*'T3 Inputs'!$B$10</f>
        <v>108413.70513107725</v>
      </c>
      <c r="H11" s="248">
        <f t="shared" si="0"/>
        <v>221445.43826976634</v>
      </c>
    </row>
    <row r="12" spans="1:9" x14ac:dyDescent="0.2">
      <c r="A12" s="246">
        <f t="shared" si="1"/>
        <v>8</v>
      </c>
      <c r="B12" s="70">
        <f t="shared" si="2"/>
        <v>2027</v>
      </c>
      <c r="C12" s="9">
        <f>'T4 Globalplex Cargo'!M23</f>
        <v>1869201.8126047803</v>
      </c>
      <c r="D12" s="9">
        <f>C12/'T3 Inputs'!$B$6</f>
        <v>109953.0478002812</v>
      </c>
      <c r="E12" s="9">
        <f>C12/'T3 Inputs'!$B$7</f>
        <v>37384.036252095604</v>
      </c>
      <c r="F12" s="9">
        <f>D12*'T3 Inputs'!$B$9</f>
        <v>329859.1434008436</v>
      </c>
      <c r="G12" s="247">
        <f>E12*'T3 Inputs'!$B$10</f>
        <v>108413.70513107725</v>
      </c>
      <c r="H12" s="248">
        <f t="shared" si="0"/>
        <v>221445.43826976634</v>
      </c>
    </row>
    <row r="13" spans="1:9" x14ac:dyDescent="0.2">
      <c r="A13" s="246">
        <f t="shared" si="1"/>
        <v>9</v>
      </c>
      <c r="B13" s="70">
        <f t="shared" si="2"/>
        <v>2028</v>
      </c>
      <c r="C13" s="9">
        <f>'T4 Globalplex Cargo'!M24</f>
        <v>1869201.8126047803</v>
      </c>
      <c r="D13" s="9">
        <f>C13/'T3 Inputs'!$B$6</f>
        <v>109953.0478002812</v>
      </c>
      <c r="E13" s="9">
        <f>C13/'T3 Inputs'!$B$7</f>
        <v>37384.036252095604</v>
      </c>
      <c r="F13" s="9">
        <f>D13*'T3 Inputs'!$B$9</f>
        <v>329859.1434008436</v>
      </c>
      <c r="G13" s="247">
        <f>E13*'T3 Inputs'!$B$10</f>
        <v>108413.70513107725</v>
      </c>
      <c r="H13" s="248">
        <f t="shared" si="0"/>
        <v>221445.43826976634</v>
      </c>
    </row>
    <row r="14" spans="1:9" x14ac:dyDescent="0.2">
      <c r="A14" s="246">
        <f t="shared" si="1"/>
        <v>10</v>
      </c>
      <c r="B14" s="70">
        <f t="shared" si="2"/>
        <v>2029</v>
      </c>
      <c r="C14" s="9">
        <f>'T4 Globalplex Cargo'!M25</f>
        <v>1869201.8126047803</v>
      </c>
      <c r="D14" s="9">
        <f>C14/'T3 Inputs'!$B$6</f>
        <v>109953.0478002812</v>
      </c>
      <c r="E14" s="9">
        <f>C14/'T3 Inputs'!$B$7</f>
        <v>37384.036252095604</v>
      </c>
      <c r="F14" s="9">
        <f>D14*'T3 Inputs'!$B$9</f>
        <v>329859.1434008436</v>
      </c>
      <c r="G14" s="247">
        <f>E14*'T3 Inputs'!$B$10</f>
        <v>108413.70513107725</v>
      </c>
      <c r="H14" s="248">
        <f t="shared" si="0"/>
        <v>221445.43826976634</v>
      </c>
    </row>
    <row r="15" spans="1:9" x14ac:dyDescent="0.2">
      <c r="A15" s="246">
        <f t="shared" si="1"/>
        <v>11</v>
      </c>
      <c r="B15" s="70">
        <f t="shared" si="2"/>
        <v>2030</v>
      </c>
      <c r="C15" s="9">
        <f>'T4 Globalplex Cargo'!M26</f>
        <v>1869201.8126047803</v>
      </c>
      <c r="D15" s="9">
        <f>C15/'T3 Inputs'!$B$6</f>
        <v>109953.0478002812</v>
      </c>
      <c r="E15" s="9">
        <f>C15/'T3 Inputs'!$B$7</f>
        <v>37384.036252095604</v>
      </c>
      <c r="F15" s="9">
        <f>D15*'T3 Inputs'!$B$9</f>
        <v>329859.1434008436</v>
      </c>
      <c r="G15" s="247">
        <f>E15*'T3 Inputs'!$B$10</f>
        <v>108413.70513107725</v>
      </c>
      <c r="H15" s="248">
        <f t="shared" si="0"/>
        <v>221445.43826976634</v>
      </c>
    </row>
    <row r="16" spans="1:9" x14ac:dyDescent="0.2">
      <c r="A16" s="246">
        <f t="shared" si="1"/>
        <v>12</v>
      </c>
      <c r="B16" s="70">
        <f t="shared" si="2"/>
        <v>2031</v>
      </c>
      <c r="C16" s="9">
        <f>'T4 Globalplex Cargo'!M27</f>
        <v>1869201.8126047803</v>
      </c>
      <c r="D16" s="9">
        <f>C16/'T3 Inputs'!$B$6</f>
        <v>109953.0478002812</v>
      </c>
      <c r="E16" s="9">
        <f>C16/'T3 Inputs'!$B$7</f>
        <v>37384.036252095604</v>
      </c>
      <c r="F16" s="9">
        <f>D16*'T3 Inputs'!$B$9</f>
        <v>329859.1434008436</v>
      </c>
      <c r="G16" s="247">
        <f>E16*'T3 Inputs'!$B$10</f>
        <v>108413.70513107725</v>
      </c>
      <c r="H16" s="248">
        <f t="shared" si="0"/>
        <v>221445.43826976634</v>
      </c>
    </row>
    <row r="17" spans="1:8" x14ac:dyDescent="0.2">
      <c r="A17" s="246">
        <f t="shared" si="1"/>
        <v>13</v>
      </c>
      <c r="B17" s="70">
        <f t="shared" si="2"/>
        <v>2032</v>
      </c>
      <c r="C17" s="9">
        <f>'T4 Globalplex Cargo'!M28</f>
        <v>1869201.8126047803</v>
      </c>
      <c r="D17" s="9">
        <f>C17/'T3 Inputs'!$B$6</f>
        <v>109953.0478002812</v>
      </c>
      <c r="E17" s="9">
        <f>C17/'T3 Inputs'!$B$7</f>
        <v>37384.036252095604</v>
      </c>
      <c r="F17" s="9">
        <f>D17*'T3 Inputs'!$B$9</f>
        <v>329859.1434008436</v>
      </c>
      <c r="G17" s="247">
        <f>E17*'T3 Inputs'!$B$10</f>
        <v>108413.70513107725</v>
      </c>
      <c r="H17" s="248">
        <f t="shared" si="0"/>
        <v>221445.43826976634</v>
      </c>
    </row>
    <row r="18" spans="1:8" x14ac:dyDescent="0.2">
      <c r="A18" s="246">
        <f t="shared" si="1"/>
        <v>14</v>
      </c>
      <c r="B18" s="70">
        <f t="shared" si="2"/>
        <v>2033</v>
      </c>
      <c r="C18" s="9">
        <f>'T4 Globalplex Cargo'!M29</f>
        <v>1869201.8126047803</v>
      </c>
      <c r="D18" s="9">
        <f>C18/'T3 Inputs'!$B$6</f>
        <v>109953.0478002812</v>
      </c>
      <c r="E18" s="9">
        <f>C18/'T3 Inputs'!$B$7</f>
        <v>37384.036252095604</v>
      </c>
      <c r="F18" s="9">
        <f>D18*'T3 Inputs'!$B$9</f>
        <v>329859.1434008436</v>
      </c>
      <c r="G18" s="247">
        <f>E18*'T3 Inputs'!$B$10</f>
        <v>108413.70513107725</v>
      </c>
      <c r="H18" s="248">
        <f t="shared" si="0"/>
        <v>221445.43826976634</v>
      </c>
    </row>
    <row r="19" spans="1:8" x14ac:dyDescent="0.2">
      <c r="A19" s="246">
        <f t="shared" si="1"/>
        <v>15</v>
      </c>
      <c r="B19" s="70">
        <f t="shared" si="2"/>
        <v>2034</v>
      </c>
      <c r="C19" s="9">
        <f>'T4 Globalplex Cargo'!M30</f>
        <v>1869201.8126047803</v>
      </c>
      <c r="D19" s="9">
        <f>C19/'T3 Inputs'!$B$6</f>
        <v>109953.0478002812</v>
      </c>
      <c r="E19" s="9">
        <f>C19/'T3 Inputs'!$B$7</f>
        <v>37384.036252095604</v>
      </c>
      <c r="F19" s="9">
        <f>D19*'T3 Inputs'!$B$9</f>
        <v>329859.1434008436</v>
      </c>
      <c r="G19" s="247">
        <f>E19*'T3 Inputs'!$B$10</f>
        <v>108413.70513107725</v>
      </c>
      <c r="H19" s="248">
        <f t="shared" si="0"/>
        <v>221445.43826976634</v>
      </c>
    </row>
    <row r="20" spans="1:8" x14ac:dyDescent="0.2">
      <c r="A20" s="246">
        <f t="shared" si="1"/>
        <v>16</v>
      </c>
      <c r="B20" s="70">
        <f t="shared" si="2"/>
        <v>2035</v>
      </c>
      <c r="C20" s="9">
        <f>'T4 Globalplex Cargo'!M31</f>
        <v>1869201.8126047803</v>
      </c>
      <c r="D20" s="9">
        <f>C20/'T3 Inputs'!$B$6</f>
        <v>109953.0478002812</v>
      </c>
      <c r="E20" s="9">
        <f>C20/'T3 Inputs'!$B$7</f>
        <v>37384.036252095604</v>
      </c>
      <c r="F20" s="9">
        <f>D20*'T3 Inputs'!$B$9</f>
        <v>329859.1434008436</v>
      </c>
      <c r="G20" s="247">
        <f>E20*'T3 Inputs'!$B$10</f>
        <v>108413.70513107725</v>
      </c>
      <c r="H20" s="248">
        <f t="shared" si="0"/>
        <v>221445.43826976634</v>
      </c>
    </row>
    <row r="21" spans="1:8" x14ac:dyDescent="0.2">
      <c r="A21" s="246">
        <f t="shared" si="1"/>
        <v>17</v>
      </c>
      <c r="B21" s="70">
        <f t="shared" si="2"/>
        <v>2036</v>
      </c>
      <c r="C21" s="9">
        <f>'T4 Globalplex Cargo'!M32</f>
        <v>1869201.8126047803</v>
      </c>
      <c r="D21" s="9">
        <f>C21/'T3 Inputs'!$B$6</f>
        <v>109953.0478002812</v>
      </c>
      <c r="E21" s="9">
        <f>C21/'T3 Inputs'!$B$7</f>
        <v>37384.036252095604</v>
      </c>
      <c r="F21" s="9">
        <f>D21*'T3 Inputs'!$B$9</f>
        <v>329859.1434008436</v>
      </c>
      <c r="G21" s="247">
        <f>E21*'T3 Inputs'!$B$10</f>
        <v>108413.70513107725</v>
      </c>
      <c r="H21" s="248">
        <f t="shared" si="0"/>
        <v>221445.43826976634</v>
      </c>
    </row>
    <row r="22" spans="1:8" x14ac:dyDescent="0.2">
      <c r="A22" s="246">
        <f t="shared" si="1"/>
        <v>18</v>
      </c>
      <c r="B22" s="70">
        <f t="shared" si="2"/>
        <v>2037</v>
      </c>
      <c r="C22" s="9">
        <f>'T4 Globalplex Cargo'!M33</f>
        <v>1869201.8126047803</v>
      </c>
      <c r="D22" s="9">
        <f>C22/'T3 Inputs'!$B$6</f>
        <v>109953.0478002812</v>
      </c>
      <c r="E22" s="9">
        <f>C22/'T3 Inputs'!$B$7</f>
        <v>37384.036252095604</v>
      </c>
      <c r="F22" s="9">
        <f>D22*'T3 Inputs'!$B$9</f>
        <v>329859.1434008436</v>
      </c>
      <c r="G22" s="247">
        <f>E22*'T3 Inputs'!$B$10</f>
        <v>108413.70513107725</v>
      </c>
      <c r="H22" s="248">
        <f t="shared" si="0"/>
        <v>221445.43826976634</v>
      </c>
    </row>
    <row r="23" spans="1:8" x14ac:dyDescent="0.2">
      <c r="A23" s="246">
        <f t="shared" si="1"/>
        <v>19</v>
      </c>
      <c r="B23" s="70">
        <f t="shared" si="2"/>
        <v>2038</v>
      </c>
      <c r="C23" s="9">
        <f>'T4 Globalplex Cargo'!M34</f>
        <v>1869201.8126047803</v>
      </c>
      <c r="D23" s="9">
        <f>C23/'T3 Inputs'!$B$6</f>
        <v>109953.0478002812</v>
      </c>
      <c r="E23" s="9">
        <f>C23/'T3 Inputs'!$B$7</f>
        <v>37384.036252095604</v>
      </c>
      <c r="F23" s="9">
        <f>D23*'T3 Inputs'!$B$9</f>
        <v>329859.1434008436</v>
      </c>
      <c r="G23" s="247">
        <f>E23*'T3 Inputs'!$B$10</f>
        <v>108413.70513107725</v>
      </c>
      <c r="H23" s="248">
        <f t="shared" si="0"/>
        <v>221445.43826976634</v>
      </c>
    </row>
    <row r="24" spans="1:8" x14ac:dyDescent="0.2">
      <c r="A24" s="246">
        <f t="shared" si="1"/>
        <v>20</v>
      </c>
      <c r="B24" s="70">
        <f t="shared" si="2"/>
        <v>2039</v>
      </c>
      <c r="C24" s="9">
        <f>'T4 Globalplex Cargo'!M35</f>
        <v>1869201.8126047803</v>
      </c>
      <c r="D24" s="9">
        <f>C24/'T3 Inputs'!$B$6</f>
        <v>109953.0478002812</v>
      </c>
      <c r="E24" s="9">
        <f>C24/'T3 Inputs'!$B$7</f>
        <v>37384.036252095604</v>
      </c>
      <c r="F24" s="9">
        <f>D24*'T3 Inputs'!$B$9</f>
        <v>329859.1434008436</v>
      </c>
      <c r="G24" s="247">
        <f>E24*'T3 Inputs'!$B$10</f>
        <v>108413.70513107725</v>
      </c>
      <c r="H24" s="248">
        <f t="shared" si="0"/>
        <v>221445.43826976634</v>
      </c>
    </row>
    <row r="25" spans="1:8" x14ac:dyDescent="0.2">
      <c r="A25" s="246">
        <f t="shared" si="1"/>
        <v>21</v>
      </c>
      <c r="B25" s="70">
        <f t="shared" si="2"/>
        <v>2040</v>
      </c>
      <c r="C25" s="9">
        <f>'T4 Globalplex Cargo'!M36</f>
        <v>1869201.8126047803</v>
      </c>
      <c r="D25" s="9">
        <f>C25/'T3 Inputs'!$B$6</f>
        <v>109953.0478002812</v>
      </c>
      <c r="E25" s="9">
        <f>C25/'T3 Inputs'!$B$7</f>
        <v>37384.036252095604</v>
      </c>
      <c r="F25" s="9">
        <f>D25*'T3 Inputs'!$B$9</f>
        <v>329859.1434008436</v>
      </c>
      <c r="G25" s="247">
        <f>E25*'T3 Inputs'!$B$10</f>
        <v>108413.70513107725</v>
      </c>
      <c r="H25" s="248">
        <f t="shared" si="0"/>
        <v>221445.43826976634</v>
      </c>
    </row>
    <row r="26" spans="1:8" x14ac:dyDescent="0.2">
      <c r="A26" s="246">
        <f t="shared" si="1"/>
        <v>22</v>
      </c>
      <c r="B26" s="70">
        <f t="shared" si="2"/>
        <v>2041</v>
      </c>
      <c r="C26" s="9">
        <f>'T4 Globalplex Cargo'!M37</f>
        <v>1869201.8126047803</v>
      </c>
      <c r="D26" s="9">
        <f>C26/'T3 Inputs'!$B$6</f>
        <v>109953.0478002812</v>
      </c>
      <c r="E26" s="9">
        <f>C26/'T3 Inputs'!$B$7</f>
        <v>37384.036252095604</v>
      </c>
      <c r="F26" s="9">
        <f>D26*'T3 Inputs'!$B$9</f>
        <v>329859.1434008436</v>
      </c>
      <c r="G26" s="247">
        <f>E26*'T3 Inputs'!$B$10</f>
        <v>108413.70513107725</v>
      </c>
      <c r="H26" s="248">
        <f t="shared" si="0"/>
        <v>221445.43826976634</v>
      </c>
    </row>
    <row r="27" spans="1:8" x14ac:dyDescent="0.2">
      <c r="A27" s="246">
        <f t="shared" si="1"/>
        <v>23</v>
      </c>
      <c r="B27" s="70">
        <f t="shared" si="2"/>
        <v>2042</v>
      </c>
      <c r="C27" s="9">
        <f>'T4 Globalplex Cargo'!M38</f>
        <v>1869201.8126047803</v>
      </c>
      <c r="D27" s="9">
        <f>C27/'T3 Inputs'!$B$6</f>
        <v>109953.0478002812</v>
      </c>
      <c r="E27" s="9">
        <f>C27/'T3 Inputs'!$B$7</f>
        <v>37384.036252095604</v>
      </c>
      <c r="F27" s="9">
        <f>D27*'T3 Inputs'!$B$9</f>
        <v>329859.1434008436</v>
      </c>
      <c r="G27" s="247">
        <f>E27*'T3 Inputs'!$B$10</f>
        <v>108413.70513107725</v>
      </c>
      <c r="H27" s="248">
        <f t="shared" si="0"/>
        <v>221445.43826976634</v>
      </c>
    </row>
    <row r="28" spans="1:8" x14ac:dyDescent="0.2">
      <c r="A28" s="246">
        <f t="shared" si="1"/>
        <v>24</v>
      </c>
      <c r="B28" s="70">
        <f t="shared" si="2"/>
        <v>2043</v>
      </c>
      <c r="C28" s="9">
        <f>'T4 Globalplex Cargo'!M39</f>
        <v>1869201.8126047803</v>
      </c>
      <c r="D28" s="9">
        <f>C28/'T3 Inputs'!$B$6</f>
        <v>109953.0478002812</v>
      </c>
      <c r="E28" s="9">
        <f>C28/'T3 Inputs'!$B$7</f>
        <v>37384.036252095604</v>
      </c>
      <c r="F28" s="9">
        <f>D28*'T3 Inputs'!$B$9</f>
        <v>329859.1434008436</v>
      </c>
      <c r="G28" s="247">
        <f>E28*'T3 Inputs'!$B$10</f>
        <v>108413.70513107725</v>
      </c>
      <c r="H28" s="248">
        <f t="shared" si="0"/>
        <v>221445.43826976634</v>
      </c>
    </row>
    <row r="29" spans="1:8" x14ac:dyDescent="0.2">
      <c r="A29" s="246">
        <f t="shared" si="1"/>
        <v>25</v>
      </c>
      <c r="B29" s="70">
        <f t="shared" si="2"/>
        <v>2044</v>
      </c>
      <c r="C29" s="9">
        <f>'T4 Globalplex Cargo'!M40</f>
        <v>1869201.8126047803</v>
      </c>
      <c r="D29" s="9">
        <f>C29/'T3 Inputs'!$B$6</f>
        <v>109953.0478002812</v>
      </c>
      <c r="E29" s="9">
        <f>C29/'T3 Inputs'!$B$7</f>
        <v>37384.036252095604</v>
      </c>
      <c r="F29" s="9">
        <f>D29*'T3 Inputs'!$B$9</f>
        <v>329859.1434008436</v>
      </c>
      <c r="G29" s="247">
        <f>E29*'T3 Inputs'!$B$10</f>
        <v>108413.70513107725</v>
      </c>
      <c r="H29" s="248">
        <f t="shared" si="0"/>
        <v>221445.43826976634</v>
      </c>
    </row>
    <row r="30" spans="1:8" x14ac:dyDescent="0.2">
      <c r="A30" s="246">
        <f t="shared" si="1"/>
        <v>26</v>
      </c>
      <c r="B30" s="70">
        <f t="shared" si="2"/>
        <v>2045</v>
      </c>
      <c r="C30" s="9">
        <f>'T4 Globalplex Cargo'!M41</f>
        <v>1869201.8126047803</v>
      </c>
      <c r="D30" s="9">
        <f>C30/'T3 Inputs'!$B$6</f>
        <v>109953.0478002812</v>
      </c>
      <c r="E30" s="9">
        <f>C30/'T3 Inputs'!$B$7</f>
        <v>37384.036252095604</v>
      </c>
      <c r="F30" s="9">
        <f>D30*'T3 Inputs'!$B$9</f>
        <v>329859.1434008436</v>
      </c>
      <c r="G30" s="247">
        <f>E30*'T3 Inputs'!$B$10</f>
        <v>108413.70513107725</v>
      </c>
      <c r="H30" s="248">
        <f t="shared" si="0"/>
        <v>221445.43826976634</v>
      </c>
    </row>
    <row r="31" spans="1:8" x14ac:dyDescent="0.2">
      <c r="A31" s="246">
        <f t="shared" si="1"/>
        <v>27</v>
      </c>
      <c r="B31" s="70">
        <f t="shared" si="2"/>
        <v>2046</v>
      </c>
      <c r="C31" s="9">
        <f>'T4 Globalplex Cargo'!M42</f>
        <v>1869201.8126047803</v>
      </c>
      <c r="D31" s="9">
        <f>C31/'T3 Inputs'!$B$6</f>
        <v>109953.0478002812</v>
      </c>
      <c r="E31" s="9">
        <f>C31/'T3 Inputs'!$B$7</f>
        <v>37384.036252095604</v>
      </c>
      <c r="F31" s="9">
        <f>D31*'T3 Inputs'!$B$9</f>
        <v>329859.1434008436</v>
      </c>
      <c r="G31" s="247">
        <f>E31*'T3 Inputs'!$B$10</f>
        <v>108413.70513107725</v>
      </c>
      <c r="H31" s="248">
        <f t="shared" si="0"/>
        <v>221445.43826976634</v>
      </c>
    </row>
    <row r="32" spans="1:8" x14ac:dyDescent="0.2">
      <c r="A32" s="246">
        <f t="shared" si="1"/>
        <v>28</v>
      </c>
      <c r="B32" s="70">
        <f t="shared" si="2"/>
        <v>2047</v>
      </c>
      <c r="C32" s="9">
        <f>'T4 Globalplex Cargo'!M43</f>
        <v>1869201.8126047803</v>
      </c>
      <c r="D32" s="9">
        <f>C32/'T3 Inputs'!$B$6</f>
        <v>109953.0478002812</v>
      </c>
      <c r="E32" s="9">
        <f>C32/'T3 Inputs'!$B$7</f>
        <v>37384.036252095604</v>
      </c>
      <c r="F32" s="9">
        <f>D32*'T3 Inputs'!$B$9</f>
        <v>329859.1434008436</v>
      </c>
      <c r="G32" s="247">
        <f>E32*'T3 Inputs'!$B$10</f>
        <v>108413.70513107725</v>
      </c>
      <c r="H32" s="248">
        <f t="shared" si="0"/>
        <v>221445.43826976634</v>
      </c>
    </row>
    <row r="33" spans="1:9" x14ac:dyDescent="0.2">
      <c r="A33" s="246">
        <f t="shared" si="1"/>
        <v>29</v>
      </c>
      <c r="B33" s="70">
        <f t="shared" si="2"/>
        <v>2048</v>
      </c>
      <c r="C33" s="9">
        <f>'T4 Globalplex Cargo'!M44</f>
        <v>1869201.8126047803</v>
      </c>
      <c r="D33" s="9">
        <f>C33/'T3 Inputs'!$B$6</f>
        <v>109953.0478002812</v>
      </c>
      <c r="E33" s="9">
        <f>C33/'T3 Inputs'!$B$7</f>
        <v>37384.036252095604</v>
      </c>
      <c r="F33" s="9">
        <f>D33*'T3 Inputs'!$B$9</f>
        <v>329859.1434008436</v>
      </c>
      <c r="G33" s="247">
        <f>E33*'T3 Inputs'!$B$10</f>
        <v>108413.70513107725</v>
      </c>
      <c r="H33" s="248">
        <f t="shared" si="0"/>
        <v>221445.43826976634</v>
      </c>
    </row>
    <row r="34" spans="1:9" x14ac:dyDescent="0.2">
      <c r="A34" s="246">
        <f t="shared" si="1"/>
        <v>30</v>
      </c>
      <c r="B34" s="70">
        <f t="shared" si="2"/>
        <v>2049</v>
      </c>
      <c r="C34" s="9">
        <f>'T4 Globalplex Cargo'!M45</f>
        <v>1869201.8126047803</v>
      </c>
      <c r="D34" s="9">
        <f>C34/'T3 Inputs'!$B$6</f>
        <v>109953.0478002812</v>
      </c>
      <c r="E34" s="9">
        <f>C34/'T3 Inputs'!$B$7</f>
        <v>37384.036252095604</v>
      </c>
      <c r="F34" s="9">
        <f>D34*'T3 Inputs'!$B$9</f>
        <v>329859.1434008436</v>
      </c>
      <c r="G34" s="247">
        <f>E34*'T3 Inputs'!$B$10</f>
        <v>108413.70513107725</v>
      </c>
      <c r="H34" s="248">
        <f t="shared" si="0"/>
        <v>221445.43826976634</v>
      </c>
    </row>
    <row r="35" spans="1:9" s="253" customFormat="1" ht="13.5" customHeight="1" thickBot="1" x14ac:dyDescent="0.25">
      <c r="A35" s="587" t="s">
        <v>262</v>
      </c>
      <c r="B35" s="588"/>
      <c r="C35" s="107">
        <f t="shared" ref="C35:H35" si="3">SUM(C3:C34)</f>
        <v>58961025.098289311</v>
      </c>
      <c r="D35" s="107">
        <f t="shared" si="3"/>
        <v>3468295.5940170176</v>
      </c>
      <c r="E35" s="107">
        <f t="shared" si="3"/>
        <v>1297053.2234016717</v>
      </c>
      <c r="F35" s="107">
        <f t="shared" si="3"/>
        <v>10404886.78205106</v>
      </c>
      <c r="G35" s="250">
        <f t="shared" si="3"/>
        <v>3779307.7905066479</v>
      </c>
      <c r="H35" s="251">
        <f t="shared" si="3"/>
        <v>6625578.9915444087</v>
      </c>
      <c r="I35" s="252"/>
    </row>
    <row r="37" spans="1:9" ht="12.75" thickBot="1" x14ac:dyDescent="0.25"/>
    <row r="38" spans="1:9" ht="60" x14ac:dyDescent="0.2">
      <c r="A38" s="240" t="s">
        <v>130</v>
      </c>
      <c r="B38" s="101" t="s">
        <v>2</v>
      </c>
      <c r="C38" s="101" t="s">
        <v>352</v>
      </c>
      <c r="D38" s="241" t="s">
        <v>147</v>
      </c>
      <c r="E38" s="241" t="s">
        <v>148</v>
      </c>
      <c r="F38" s="241" t="s">
        <v>149</v>
      </c>
      <c r="G38" s="242" t="s">
        <v>150</v>
      </c>
      <c r="H38" s="243" t="s">
        <v>151</v>
      </c>
    </row>
    <row r="39" spans="1:9" x14ac:dyDescent="0.2">
      <c r="A39" s="246">
        <f t="shared" ref="A39:A70" si="4">A3</f>
        <v>-1</v>
      </c>
      <c r="B39" s="70">
        <f t="shared" ref="B39:B70" si="5">B3</f>
        <v>2018</v>
      </c>
      <c r="C39" s="9">
        <f t="shared" ref="C39:H39" si="6">ROUND(C3,-3)</f>
        <v>1454000</v>
      </c>
      <c r="D39" s="9">
        <f t="shared" si="6"/>
        <v>86000</v>
      </c>
      <c r="E39" s="9">
        <f t="shared" si="6"/>
        <v>86000</v>
      </c>
      <c r="F39" s="9">
        <f t="shared" si="6"/>
        <v>257000</v>
      </c>
      <c r="G39" s="247">
        <f t="shared" si="6"/>
        <v>257000</v>
      </c>
      <c r="H39" s="248">
        <f t="shared" si="6"/>
        <v>0</v>
      </c>
    </row>
    <row r="40" spans="1:9" x14ac:dyDescent="0.2">
      <c r="A40" s="246">
        <f t="shared" si="4"/>
        <v>0</v>
      </c>
      <c r="B40" s="70">
        <f t="shared" si="5"/>
        <v>2019</v>
      </c>
      <c r="C40" s="9">
        <f t="shared" ref="C40:H40" si="7">ROUND(C4,-3)</f>
        <v>1581000</v>
      </c>
      <c r="D40" s="9">
        <f t="shared" si="7"/>
        <v>93000</v>
      </c>
      <c r="E40" s="9">
        <f t="shared" si="7"/>
        <v>93000</v>
      </c>
      <c r="F40" s="9">
        <f t="shared" si="7"/>
        <v>279000</v>
      </c>
      <c r="G40" s="247">
        <f t="shared" si="7"/>
        <v>279000</v>
      </c>
      <c r="H40" s="248">
        <f t="shared" si="7"/>
        <v>0</v>
      </c>
    </row>
    <row r="41" spans="1:9" x14ac:dyDescent="0.2">
      <c r="A41" s="246">
        <f t="shared" si="4"/>
        <v>1</v>
      </c>
      <c r="B41" s="70">
        <f t="shared" si="5"/>
        <v>2020</v>
      </c>
      <c r="C41" s="9">
        <f t="shared" ref="C41:H41" si="8">ROUND(C5,-3)</f>
        <v>1719000</v>
      </c>
      <c r="D41" s="9">
        <f t="shared" si="8"/>
        <v>101000</v>
      </c>
      <c r="E41" s="9">
        <f t="shared" si="8"/>
        <v>34000</v>
      </c>
      <c r="F41" s="9">
        <f t="shared" si="8"/>
        <v>303000</v>
      </c>
      <c r="G41" s="247">
        <f t="shared" si="8"/>
        <v>100000</v>
      </c>
      <c r="H41" s="248">
        <f t="shared" si="8"/>
        <v>204000</v>
      </c>
    </row>
    <row r="42" spans="1:9" x14ac:dyDescent="0.2">
      <c r="A42" s="246">
        <f t="shared" si="4"/>
        <v>2</v>
      </c>
      <c r="B42" s="70">
        <f t="shared" si="5"/>
        <v>2021</v>
      </c>
      <c r="C42" s="9">
        <f t="shared" ref="C42:H42" si="9">ROUND(C6,-3)</f>
        <v>1869000</v>
      </c>
      <c r="D42" s="9">
        <f t="shared" si="9"/>
        <v>110000</v>
      </c>
      <c r="E42" s="9">
        <f t="shared" si="9"/>
        <v>37000</v>
      </c>
      <c r="F42" s="9">
        <f t="shared" si="9"/>
        <v>330000</v>
      </c>
      <c r="G42" s="247">
        <f t="shared" si="9"/>
        <v>108000</v>
      </c>
      <c r="H42" s="248">
        <f t="shared" si="9"/>
        <v>221000</v>
      </c>
    </row>
    <row r="43" spans="1:9" x14ac:dyDescent="0.2">
      <c r="A43" s="246">
        <f t="shared" si="4"/>
        <v>3</v>
      </c>
      <c r="B43" s="70">
        <f t="shared" si="5"/>
        <v>2022</v>
      </c>
      <c r="C43" s="9">
        <f t="shared" ref="C43:H43" si="10">ROUND(C7,-3)</f>
        <v>1869000</v>
      </c>
      <c r="D43" s="9">
        <f t="shared" si="10"/>
        <v>110000</v>
      </c>
      <c r="E43" s="9">
        <f t="shared" si="10"/>
        <v>37000</v>
      </c>
      <c r="F43" s="9">
        <f t="shared" si="10"/>
        <v>330000</v>
      </c>
      <c r="G43" s="247">
        <f t="shared" si="10"/>
        <v>108000</v>
      </c>
      <c r="H43" s="248">
        <f t="shared" si="10"/>
        <v>221000</v>
      </c>
    </row>
    <row r="44" spans="1:9" x14ac:dyDescent="0.2">
      <c r="A44" s="246">
        <f t="shared" si="4"/>
        <v>4</v>
      </c>
      <c r="B44" s="70">
        <f t="shared" si="5"/>
        <v>2023</v>
      </c>
      <c r="C44" s="9">
        <f t="shared" ref="C44:H44" si="11">ROUND(C8,-3)</f>
        <v>1869000</v>
      </c>
      <c r="D44" s="9">
        <f t="shared" si="11"/>
        <v>110000</v>
      </c>
      <c r="E44" s="9">
        <f t="shared" si="11"/>
        <v>37000</v>
      </c>
      <c r="F44" s="9">
        <f t="shared" si="11"/>
        <v>330000</v>
      </c>
      <c r="G44" s="247">
        <f t="shared" si="11"/>
        <v>108000</v>
      </c>
      <c r="H44" s="248">
        <f t="shared" si="11"/>
        <v>221000</v>
      </c>
    </row>
    <row r="45" spans="1:9" x14ac:dyDescent="0.2">
      <c r="A45" s="246">
        <f t="shared" si="4"/>
        <v>5</v>
      </c>
      <c r="B45" s="70">
        <f t="shared" si="5"/>
        <v>2024</v>
      </c>
      <c r="C45" s="9">
        <f t="shared" ref="C45:H45" si="12">ROUND(C9,-3)</f>
        <v>1869000</v>
      </c>
      <c r="D45" s="9">
        <f t="shared" si="12"/>
        <v>110000</v>
      </c>
      <c r="E45" s="9">
        <f t="shared" si="12"/>
        <v>37000</v>
      </c>
      <c r="F45" s="9">
        <f t="shared" si="12"/>
        <v>330000</v>
      </c>
      <c r="G45" s="247">
        <f t="shared" si="12"/>
        <v>108000</v>
      </c>
      <c r="H45" s="248">
        <f t="shared" si="12"/>
        <v>221000</v>
      </c>
    </row>
    <row r="46" spans="1:9" x14ac:dyDescent="0.2">
      <c r="A46" s="246">
        <f t="shared" si="4"/>
        <v>6</v>
      </c>
      <c r="B46" s="70">
        <f t="shared" si="5"/>
        <v>2025</v>
      </c>
      <c r="C46" s="9">
        <f t="shared" ref="C46:H46" si="13">ROUND(C10,-3)</f>
        <v>1869000</v>
      </c>
      <c r="D46" s="9">
        <f t="shared" si="13"/>
        <v>110000</v>
      </c>
      <c r="E46" s="9">
        <f t="shared" si="13"/>
        <v>37000</v>
      </c>
      <c r="F46" s="9">
        <f t="shared" si="13"/>
        <v>330000</v>
      </c>
      <c r="G46" s="247">
        <f t="shared" si="13"/>
        <v>108000</v>
      </c>
      <c r="H46" s="248">
        <f t="shared" si="13"/>
        <v>221000</v>
      </c>
    </row>
    <row r="47" spans="1:9" x14ac:dyDescent="0.2">
      <c r="A47" s="246">
        <f t="shared" si="4"/>
        <v>7</v>
      </c>
      <c r="B47" s="70">
        <f t="shared" si="5"/>
        <v>2026</v>
      </c>
      <c r="C47" s="9">
        <f t="shared" ref="C47:H47" si="14">ROUND(C11,-3)</f>
        <v>1869000</v>
      </c>
      <c r="D47" s="9">
        <f t="shared" si="14"/>
        <v>110000</v>
      </c>
      <c r="E47" s="9">
        <f t="shared" si="14"/>
        <v>37000</v>
      </c>
      <c r="F47" s="9">
        <f t="shared" si="14"/>
        <v>330000</v>
      </c>
      <c r="G47" s="247">
        <f t="shared" si="14"/>
        <v>108000</v>
      </c>
      <c r="H47" s="248">
        <f t="shared" si="14"/>
        <v>221000</v>
      </c>
    </row>
    <row r="48" spans="1:9" x14ac:dyDescent="0.2">
      <c r="A48" s="246">
        <f t="shared" si="4"/>
        <v>8</v>
      </c>
      <c r="B48" s="70">
        <f t="shared" si="5"/>
        <v>2027</v>
      </c>
      <c r="C48" s="9">
        <f t="shared" ref="C48:H48" si="15">ROUND(C12,-3)</f>
        <v>1869000</v>
      </c>
      <c r="D48" s="9">
        <f t="shared" si="15"/>
        <v>110000</v>
      </c>
      <c r="E48" s="9">
        <f t="shared" si="15"/>
        <v>37000</v>
      </c>
      <c r="F48" s="9">
        <f t="shared" si="15"/>
        <v>330000</v>
      </c>
      <c r="G48" s="247">
        <f t="shared" si="15"/>
        <v>108000</v>
      </c>
      <c r="H48" s="248">
        <f t="shared" si="15"/>
        <v>221000</v>
      </c>
    </row>
    <row r="49" spans="1:8" x14ac:dyDescent="0.2">
      <c r="A49" s="246">
        <f t="shared" si="4"/>
        <v>9</v>
      </c>
      <c r="B49" s="70">
        <f t="shared" si="5"/>
        <v>2028</v>
      </c>
      <c r="C49" s="9">
        <f t="shared" ref="C49:H49" si="16">ROUND(C13,-3)</f>
        <v>1869000</v>
      </c>
      <c r="D49" s="9">
        <f t="shared" si="16"/>
        <v>110000</v>
      </c>
      <c r="E49" s="9">
        <f t="shared" si="16"/>
        <v>37000</v>
      </c>
      <c r="F49" s="9">
        <f t="shared" si="16"/>
        <v>330000</v>
      </c>
      <c r="G49" s="247">
        <f t="shared" si="16"/>
        <v>108000</v>
      </c>
      <c r="H49" s="248">
        <f t="shared" si="16"/>
        <v>221000</v>
      </c>
    </row>
    <row r="50" spans="1:8" x14ac:dyDescent="0.2">
      <c r="A50" s="246">
        <f t="shared" si="4"/>
        <v>10</v>
      </c>
      <c r="B50" s="70">
        <f t="shared" si="5"/>
        <v>2029</v>
      </c>
      <c r="C50" s="9">
        <f t="shared" ref="C50:H50" si="17">ROUND(C14,-3)</f>
        <v>1869000</v>
      </c>
      <c r="D50" s="9">
        <f t="shared" si="17"/>
        <v>110000</v>
      </c>
      <c r="E50" s="9">
        <f t="shared" si="17"/>
        <v>37000</v>
      </c>
      <c r="F50" s="9">
        <f t="shared" si="17"/>
        <v>330000</v>
      </c>
      <c r="G50" s="247">
        <f t="shared" si="17"/>
        <v>108000</v>
      </c>
      <c r="H50" s="248">
        <f t="shared" si="17"/>
        <v>221000</v>
      </c>
    </row>
    <row r="51" spans="1:8" x14ac:dyDescent="0.2">
      <c r="A51" s="246">
        <f t="shared" si="4"/>
        <v>11</v>
      </c>
      <c r="B51" s="70">
        <f t="shared" si="5"/>
        <v>2030</v>
      </c>
      <c r="C51" s="9">
        <f t="shared" ref="C51:H51" si="18">ROUND(C15,-3)</f>
        <v>1869000</v>
      </c>
      <c r="D51" s="9">
        <f t="shared" si="18"/>
        <v>110000</v>
      </c>
      <c r="E51" s="9">
        <f t="shared" si="18"/>
        <v>37000</v>
      </c>
      <c r="F51" s="9">
        <f t="shared" si="18"/>
        <v>330000</v>
      </c>
      <c r="G51" s="247">
        <f t="shared" si="18"/>
        <v>108000</v>
      </c>
      <c r="H51" s="248">
        <f t="shared" si="18"/>
        <v>221000</v>
      </c>
    </row>
    <row r="52" spans="1:8" x14ac:dyDescent="0.2">
      <c r="A52" s="246">
        <f t="shared" si="4"/>
        <v>12</v>
      </c>
      <c r="B52" s="70">
        <f t="shared" si="5"/>
        <v>2031</v>
      </c>
      <c r="C52" s="9">
        <f t="shared" ref="C52:H52" si="19">ROUND(C16,-3)</f>
        <v>1869000</v>
      </c>
      <c r="D52" s="9">
        <f t="shared" si="19"/>
        <v>110000</v>
      </c>
      <c r="E52" s="9">
        <f t="shared" si="19"/>
        <v>37000</v>
      </c>
      <c r="F52" s="9">
        <f t="shared" si="19"/>
        <v>330000</v>
      </c>
      <c r="G52" s="247">
        <f t="shared" si="19"/>
        <v>108000</v>
      </c>
      <c r="H52" s="248">
        <f t="shared" si="19"/>
        <v>221000</v>
      </c>
    </row>
    <row r="53" spans="1:8" x14ac:dyDescent="0.2">
      <c r="A53" s="246">
        <f t="shared" si="4"/>
        <v>13</v>
      </c>
      <c r="B53" s="70">
        <f t="shared" si="5"/>
        <v>2032</v>
      </c>
      <c r="C53" s="9">
        <f t="shared" ref="C53:H53" si="20">ROUND(C17,-3)</f>
        <v>1869000</v>
      </c>
      <c r="D53" s="9">
        <f t="shared" si="20"/>
        <v>110000</v>
      </c>
      <c r="E53" s="9">
        <f t="shared" si="20"/>
        <v>37000</v>
      </c>
      <c r="F53" s="9">
        <f t="shared" si="20"/>
        <v>330000</v>
      </c>
      <c r="G53" s="247">
        <f t="shared" si="20"/>
        <v>108000</v>
      </c>
      <c r="H53" s="248">
        <f t="shared" si="20"/>
        <v>221000</v>
      </c>
    </row>
    <row r="54" spans="1:8" x14ac:dyDescent="0.2">
      <c r="A54" s="246">
        <f t="shared" si="4"/>
        <v>14</v>
      </c>
      <c r="B54" s="70">
        <f t="shared" si="5"/>
        <v>2033</v>
      </c>
      <c r="C54" s="9">
        <f t="shared" ref="C54:H54" si="21">ROUND(C18,-3)</f>
        <v>1869000</v>
      </c>
      <c r="D54" s="9">
        <f t="shared" si="21"/>
        <v>110000</v>
      </c>
      <c r="E54" s="9">
        <f t="shared" si="21"/>
        <v>37000</v>
      </c>
      <c r="F54" s="9">
        <f t="shared" si="21"/>
        <v>330000</v>
      </c>
      <c r="G54" s="247">
        <f t="shared" si="21"/>
        <v>108000</v>
      </c>
      <c r="H54" s="248">
        <f t="shared" si="21"/>
        <v>221000</v>
      </c>
    </row>
    <row r="55" spans="1:8" x14ac:dyDescent="0.2">
      <c r="A55" s="246">
        <f t="shared" si="4"/>
        <v>15</v>
      </c>
      <c r="B55" s="70">
        <f t="shared" si="5"/>
        <v>2034</v>
      </c>
      <c r="C55" s="9">
        <f t="shared" ref="C55:H55" si="22">ROUND(C19,-3)</f>
        <v>1869000</v>
      </c>
      <c r="D55" s="9">
        <f t="shared" si="22"/>
        <v>110000</v>
      </c>
      <c r="E55" s="9">
        <f t="shared" si="22"/>
        <v>37000</v>
      </c>
      <c r="F55" s="9">
        <f t="shared" si="22"/>
        <v>330000</v>
      </c>
      <c r="G55" s="247">
        <f t="shared" si="22"/>
        <v>108000</v>
      </c>
      <c r="H55" s="248">
        <f t="shared" si="22"/>
        <v>221000</v>
      </c>
    </row>
    <row r="56" spans="1:8" x14ac:dyDescent="0.2">
      <c r="A56" s="246">
        <f t="shared" si="4"/>
        <v>16</v>
      </c>
      <c r="B56" s="70">
        <f t="shared" si="5"/>
        <v>2035</v>
      </c>
      <c r="C56" s="9">
        <f t="shared" ref="C56:H56" si="23">ROUND(C20,-3)</f>
        <v>1869000</v>
      </c>
      <c r="D56" s="9">
        <f t="shared" si="23"/>
        <v>110000</v>
      </c>
      <c r="E56" s="9">
        <f t="shared" si="23"/>
        <v>37000</v>
      </c>
      <c r="F56" s="9">
        <f t="shared" si="23"/>
        <v>330000</v>
      </c>
      <c r="G56" s="247">
        <f t="shared" si="23"/>
        <v>108000</v>
      </c>
      <c r="H56" s="248">
        <f t="shared" si="23"/>
        <v>221000</v>
      </c>
    </row>
    <row r="57" spans="1:8" x14ac:dyDescent="0.2">
      <c r="A57" s="246">
        <f t="shared" si="4"/>
        <v>17</v>
      </c>
      <c r="B57" s="70">
        <f t="shared" si="5"/>
        <v>2036</v>
      </c>
      <c r="C57" s="9">
        <f t="shared" ref="C57:H57" si="24">ROUND(C21,-3)</f>
        <v>1869000</v>
      </c>
      <c r="D57" s="9">
        <f t="shared" si="24"/>
        <v>110000</v>
      </c>
      <c r="E57" s="9">
        <f t="shared" si="24"/>
        <v>37000</v>
      </c>
      <c r="F57" s="9">
        <f t="shared" si="24"/>
        <v>330000</v>
      </c>
      <c r="G57" s="247">
        <f t="shared" si="24"/>
        <v>108000</v>
      </c>
      <c r="H57" s="248">
        <f t="shared" si="24"/>
        <v>221000</v>
      </c>
    </row>
    <row r="58" spans="1:8" x14ac:dyDescent="0.2">
      <c r="A58" s="246">
        <f t="shared" si="4"/>
        <v>18</v>
      </c>
      <c r="B58" s="70">
        <f t="shared" si="5"/>
        <v>2037</v>
      </c>
      <c r="C58" s="9">
        <f t="shared" ref="C58:H58" si="25">ROUND(C22,-3)</f>
        <v>1869000</v>
      </c>
      <c r="D58" s="9">
        <f t="shared" si="25"/>
        <v>110000</v>
      </c>
      <c r="E58" s="9">
        <f t="shared" si="25"/>
        <v>37000</v>
      </c>
      <c r="F58" s="9">
        <f t="shared" si="25"/>
        <v>330000</v>
      </c>
      <c r="G58" s="247">
        <f t="shared" si="25"/>
        <v>108000</v>
      </c>
      <c r="H58" s="248">
        <f t="shared" si="25"/>
        <v>221000</v>
      </c>
    </row>
    <row r="59" spans="1:8" x14ac:dyDescent="0.2">
      <c r="A59" s="246">
        <f t="shared" si="4"/>
        <v>19</v>
      </c>
      <c r="B59" s="70">
        <f t="shared" si="5"/>
        <v>2038</v>
      </c>
      <c r="C59" s="9">
        <f t="shared" ref="C59:H59" si="26">ROUND(C23,-3)</f>
        <v>1869000</v>
      </c>
      <c r="D59" s="9">
        <f t="shared" si="26"/>
        <v>110000</v>
      </c>
      <c r="E59" s="9">
        <f t="shared" si="26"/>
        <v>37000</v>
      </c>
      <c r="F59" s="9">
        <f t="shared" si="26"/>
        <v>330000</v>
      </c>
      <c r="G59" s="247">
        <f t="shared" si="26"/>
        <v>108000</v>
      </c>
      <c r="H59" s="248">
        <f t="shared" si="26"/>
        <v>221000</v>
      </c>
    </row>
    <row r="60" spans="1:8" x14ac:dyDescent="0.2">
      <c r="A60" s="246">
        <f t="shared" si="4"/>
        <v>20</v>
      </c>
      <c r="B60" s="70">
        <f t="shared" si="5"/>
        <v>2039</v>
      </c>
      <c r="C60" s="9">
        <f t="shared" ref="C60:H60" si="27">ROUND(C24,-3)</f>
        <v>1869000</v>
      </c>
      <c r="D60" s="9">
        <f t="shared" si="27"/>
        <v>110000</v>
      </c>
      <c r="E60" s="9">
        <f t="shared" si="27"/>
        <v>37000</v>
      </c>
      <c r="F60" s="9">
        <f t="shared" si="27"/>
        <v>330000</v>
      </c>
      <c r="G60" s="247">
        <f t="shared" si="27"/>
        <v>108000</v>
      </c>
      <c r="H60" s="248">
        <f t="shared" si="27"/>
        <v>221000</v>
      </c>
    </row>
    <row r="61" spans="1:8" x14ac:dyDescent="0.2">
      <c r="A61" s="246">
        <f t="shared" si="4"/>
        <v>21</v>
      </c>
      <c r="B61" s="70">
        <f t="shared" si="5"/>
        <v>2040</v>
      </c>
      <c r="C61" s="9">
        <f t="shared" ref="C61:H61" si="28">ROUND(C25,-3)</f>
        <v>1869000</v>
      </c>
      <c r="D61" s="9">
        <f t="shared" si="28"/>
        <v>110000</v>
      </c>
      <c r="E61" s="9">
        <f t="shared" si="28"/>
        <v>37000</v>
      </c>
      <c r="F61" s="9">
        <f t="shared" si="28"/>
        <v>330000</v>
      </c>
      <c r="G61" s="247">
        <f t="shared" si="28"/>
        <v>108000</v>
      </c>
      <c r="H61" s="248">
        <f t="shared" si="28"/>
        <v>221000</v>
      </c>
    </row>
    <row r="62" spans="1:8" x14ac:dyDescent="0.2">
      <c r="A62" s="246">
        <f t="shared" si="4"/>
        <v>22</v>
      </c>
      <c r="B62" s="70">
        <f t="shared" si="5"/>
        <v>2041</v>
      </c>
      <c r="C62" s="9">
        <f t="shared" ref="C62:H62" si="29">ROUND(C26,-3)</f>
        <v>1869000</v>
      </c>
      <c r="D62" s="9">
        <f t="shared" si="29"/>
        <v>110000</v>
      </c>
      <c r="E62" s="9">
        <f t="shared" si="29"/>
        <v>37000</v>
      </c>
      <c r="F62" s="9">
        <f t="shared" si="29"/>
        <v>330000</v>
      </c>
      <c r="G62" s="247">
        <f t="shared" si="29"/>
        <v>108000</v>
      </c>
      <c r="H62" s="248">
        <f t="shared" si="29"/>
        <v>221000</v>
      </c>
    </row>
    <row r="63" spans="1:8" x14ac:dyDescent="0.2">
      <c r="A63" s="246">
        <f t="shared" si="4"/>
        <v>23</v>
      </c>
      <c r="B63" s="70">
        <f t="shared" si="5"/>
        <v>2042</v>
      </c>
      <c r="C63" s="9">
        <f t="shared" ref="C63:H63" si="30">ROUND(C27,-3)</f>
        <v>1869000</v>
      </c>
      <c r="D63" s="9">
        <f t="shared" si="30"/>
        <v>110000</v>
      </c>
      <c r="E63" s="9">
        <f t="shared" si="30"/>
        <v>37000</v>
      </c>
      <c r="F63" s="9">
        <f t="shared" si="30"/>
        <v>330000</v>
      </c>
      <c r="G63" s="247">
        <f t="shared" si="30"/>
        <v>108000</v>
      </c>
      <c r="H63" s="248">
        <f t="shared" si="30"/>
        <v>221000</v>
      </c>
    </row>
    <row r="64" spans="1:8" x14ac:dyDescent="0.2">
      <c r="A64" s="246">
        <f t="shared" si="4"/>
        <v>24</v>
      </c>
      <c r="B64" s="70">
        <f t="shared" si="5"/>
        <v>2043</v>
      </c>
      <c r="C64" s="9">
        <f t="shared" ref="C64:H64" si="31">ROUND(C28,-3)</f>
        <v>1869000</v>
      </c>
      <c r="D64" s="9">
        <f t="shared" si="31"/>
        <v>110000</v>
      </c>
      <c r="E64" s="9">
        <f t="shared" si="31"/>
        <v>37000</v>
      </c>
      <c r="F64" s="9">
        <f t="shared" si="31"/>
        <v>330000</v>
      </c>
      <c r="G64" s="247">
        <f t="shared" si="31"/>
        <v>108000</v>
      </c>
      <c r="H64" s="248">
        <f t="shared" si="31"/>
        <v>221000</v>
      </c>
    </row>
    <row r="65" spans="1:9" x14ac:dyDescent="0.2">
      <c r="A65" s="246">
        <f t="shared" si="4"/>
        <v>25</v>
      </c>
      <c r="B65" s="70">
        <f t="shared" si="5"/>
        <v>2044</v>
      </c>
      <c r="C65" s="9">
        <f t="shared" ref="C65:H65" si="32">ROUND(C29,-3)</f>
        <v>1869000</v>
      </c>
      <c r="D65" s="9">
        <f t="shared" si="32"/>
        <v>110000</v>
      </c>
      <c r="E65" s="9">
        <f t="shared" si="32"/>
        <v>37000</v>
      </c>
      <c r="F65" s="9">
        <f t="shared" si="32"/>
        <v>330000</v>
      </c>
      <c r="G65" s="247">
        <f t="shared" si="32"/>
        <v>108000</v>
      </c>
      <c r="H65" s="248">
        <f t="shared" si="32"/>
        <v>221000</v>
      </c>
    </row>
    <row r="66" spans="1:9" x14ac:dyDescent="0.2">
      <c r="A66" s="246">
        <f t="shared" si="4"/>
        <v>26</v>
      </c>
      <c r="B66" s="70">
        <f t="shared" si="5"/>
        <v>2045</v>
      </c>
      <c r="C66" s="9">
        <f t="shared" ref="C66:H66" si="33">ROUND(C30,-3)</f>
        <v>1869000</v>
      </c>
      <c r="D66" s="9">
        <f t="shared" si="33"/>
        <v>110000</v>
      </c>
      <c r="E66" s="9">
        <f t="shared" si="33"/>
        <v>37000</v>
      </c>
      <c r="F66" s="9">
        <f t="shared" si="33"/>
        <v>330000</v>
      </c>
      <c r="G66" s="247">
        <f t="shared" si="33"/>
        <v>108000</v>
      </c>
      <c r="H66" s="248">
        <f t="shared" si="33"/>
        <v>221000</v>
      </c>
    </row>
    <row r="67" spans="1:9" x14ac:dyDescent="0.2">
      <c r="A67" s="246">
        <f t="shared" si="4"/>
        <v>27</v>
      </c>
      <c r="B67" s="70">
        <f t="shared" si="5"/>
        <v>2046</v>
      </c>
      <c r="C67" s="9">
        <f t="shared" ref="C67:H67" si="34">ROUND(C31,-3)</f>
        <v>1869000</v>
      </c>
      <c r="D67" s="9">
        <f t="shared" si="34"/>
        <v>110000</v>
      </c>
      <c r="E67" s="9">
        <f t="shared" si="34"/>
        <v>37000</v>
      </c>
      <c r="F67" s="9">
        <f t="shared" si="34"/>
        <v>330000</v>
      </c>
      <c r="G67" s="247">
        <f t="shared" si="34"/>
        <v>108000</v>
      </c>
      <c r="H67" s="248">
        <f t="shared" si="34"/>
        <v>221000</v>
      </c>
    </row>
    <row r="68" spans="1:9" x14ac:dyDescent="0.2">
      <c r="A68" s="246">
        <f t="shared" si="4"/>
        <v>28</v>
      </c>
      <c r="B68" s="70">
        <f t="shared" si="5"/>
        <v>2047</v>
      </c>
      <c r="C68" s="9">
        <f t="shared" ref="C68:H68" si="35">ROUND(C32,-3)</f>
        <v>1869000</v>
      </c>
      <c r="D68" s="9">
        <f t="shared" si="35"/>
        <v>110000</v>
      </c>
      <c r="E68" s="9">
        <f t="shared" si="35"/>
        <v>37000</v>
      </c>
      <c r="F68" s="9">
        <f t="shared" si="35"/>
        <v>330000</v>
      </c>
      <c r="G68" s="247">
        <f t="shared" si="35"/>
        <v>108000</v>
      </c>
      <c r="H68" s="248">
        <f t="shared" si="35"/>
        <v>221000</v>
      </c>
    </row>
    <row r="69" spans="1:9" x14ac:dyDescent="0.2">
      <c r="A69" s="246">
        <f t="shared" si="4"/>
        <v>29</v>
      </c>
      <c r="B69" s="70">
        <f t="shared" si="5"/>
        <v>2048</v>
      </c>
      <c r="C69" s="9">
        <f t="shared" ref="C69:H69" si="36">ROUND(C33,-3)</f>
        <v>1869000</v>
      </c>
      <c r="D69" s="9">
        <f t="shared" si="36"/>
        <v>110000</v>
      </c>
      <c r="E69" s="9">
        <f t="shared" si="36"/>
        <v>37000</v>
      </c>
      <c r="F69" s="9">
        <f t="shared" si="36"/>
        <v>330000</v>
      </c>
      <c r="G69" s="247">
        <f t="shared" si="36"/>
        <v>108000</v>
      </c>
      <c r="H69" s="248">
        <f t="shared" si="36"/>
        <v>221000</v>
      </c>
    </row>
    <row r="70" spans="1:9" x14ac:dyDescent="0.2">
      <c r="A70" s="246">
        <f t="shared" si="4"/>
        <v>30</v>
      </c>
      <c r="B70" s="70">
        <f t="shared" si="5"/>
        <v>2049</v>
      </c>
      <c r="C70" s="9">
        <f t="shared" ref="C70:H70" si="37">ROUND(C34,-3)</f>
        <v>1869000</v>
      </c>
      <c r="D70" s="9">
        <f t="shared" si="37"/>
        <v>110000</v>
      </c>
      <c r="E70" s="9">
        <f t="shared" si="37"/>
        <v>37000</v>
      </c>
      <c r="F70" s="9">
        <f t="shared" si="37"/>
        <v>330000</v>
      </c>
      <c r="G70" s="247">
        <f t="shared" si="37"/>
        <v>108000</v>
      </c>
      <c r="H70" s="248">
        <f t="shared" si="37"/>
        <v>221000</v>
      </c>
    </row>
    <row r="71" spans="1:9" s="253" customFormat="1" ht="13.5" customHeight="1" thickBot="1" x14ac:dyDescent="0.25">
      <c r="A71" s="587" t="s">
        <v>27</v>
      </c>
      <c r="B71" s="588"/>
      <c r="C71" s="107">
        <f t="shared" ref="C71:H71" si="38">SUM(C39:C70)</f>
        <v>58955000</v>
      </c>
      <c r="D71" s="107">
        <f t="shared" si="38"/>
        <v>3470000</v>
      </c>
      <c r="E71" s="107">
        <f t="shared" si="38"/>
        <v>1286000</v>
      </c>
      <c r="F71" s="107">
        <f t="shared" si="38"/>
        <v>10409000</v>
      </c>
      <c r="G71" s="250">
        <f t="shared" si="38"/>
        <v>3768000</v>
      </c>
      <c r="H71" s="251">
        <f t="shared" si="38"/>
        <v>6613000</v>
      </c>
      <c r="I71" s="252"/>
    </row>
  </sheetData>
  <mergeCells count="2">
    <mergeCell ref="A35:B35"/>
    <mergeCell ref="A71:B71"/>
  </mergeCells>
  <pageMargins left="0.75" right="0.75" top="1" bottom="1" header="0.5" footer="0.5"/>
  <pageSetup orientation="portrait" verticalDpi="0" r:id="rId1"/>
  <headerFooter alignWithMargins="0"/>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election activeCell="A2" sqref="A2"/>
    </sheetView>
  </sheetViews>
  <sheetFormatPr defaultRowHeight="12.75" x14ac:dyDescent="0.2"/>
  <cols>
    <col min="1" max="2" width="8.7109375" style="234" customWidth="1"/>
    <col min="3" max="9" width="12.28515625" style="228" customWidth="1"/>
    <col min="10" max="16384" width="9.140625" style="1"/>
  </cols>
  <sheetData>
    <row r="1" spans="1:9" ht="13.5" thickBot="1" x14ac:dyDescent="0.25"/>
    <row r="2" spans="1:9" s="219" customFormat="1" ht="63.75" x14ac:dyDescent="0.2">
      <c r="A2" s="218" t="s">
        <v>130</v>
      </c>
      <c r="B2" s="163" t="s">
        <v>2</v>
      </c>
      <c r="C2" s="255" t="s">
        <v>264</v>
      </c>
      <c r="D2" s="255" t="s">
        <v>265</v>
      </c>
      <c r="E2" s="255" t="s">
        <v>353</v>
      </c>
      <c r="F2" s="255" t="s">
        <v>354</v>
      </c>
      <c r="G2" s="255" t="s">
        <v>355</v>
      </c>
      <c r="H2" s="255" t="s">
        <v>356</v>
      </c>
      <c r="I2" s="256" t="s">
        <v>357</v>
      </c>
    </row>
    <row r="3" spans="1:9" x14ac:dyDescent="0.2">
      <c r="A3" s="226">
        <f>-1</f>
        <v>-1</v>
      </c>
      <c r="B3" s="227">
        <v>2018</v>
      </c>
      <c r="C3" s="37">
        <f>'T5 Avoided Truck Miles'!D3</f>
        <v>85532.757789437397</v>
      </c>
      <c r="D3" s="37">
        <f>'T5 Avoided Truck Miles'!E3</f>
        <v>85532.757789437397</v>
      </c>
      <c r="E3" s="37">
        <f>'T3 Inputs'!$B$11</f>
        <v>25</v>
      </c>
      <c r="F3" s="37">
        <f>E3</f>
        <v>25</v>
      </c>
      <c r="G3" s="37">
        <f>C3*E3</f>
        <v>2138318.944735935</v>
      </c>
      <c r="H3" s="37">
        <f>D3*F3</f>
        <v>2138318.944735935</v>
      </c>
      <c r="I3" s="177">
        <f>G3-H3</f>
        <v>0</v>
      </c>
    </row>
    <row r="4" spans="1:9" x14ac:dyDescent="0.2">
      <c r="A4" s="226">
        <f>A3+1</f>
        <v>0</v>
      </c>
      <c r="B4" s="227">
        <f>B3+1</f>
        <v>2019</v>
      </c>
      <c r="C4" s="37">
        <f>'T5 Avoided Truck Miles'!D4</f>
        <v>93001.668628570464</v>
      </c>
      <c r="D4" s="37">
        <f>'T5 Avoided Truck Miles'!E4</f>
        <v>93001.668628570464</v>
      </c>
      <c r="E4" s="37">
        <f>'T3 Inputs'!$B$11</f>
        <v>25</v>
      </c>
      <c r="F4" s="37">
        <f>E4</f>
        <v>25</v>
      </c>
      <c r="G4" s="37">
        <f t="shared" ref="G4:G34" si="0">C4*E4</f>
        <v>2325041.7157142614</v>
      </c>
      <c r="H4" s="37">
        <f t="shared" ref="H4:H34" si="1">D4*F4</f>
        <v>2325041.7157142614</v>
      </c>
      <c r="I4" s="177">
        <f t="shared" ref="I4:I34" si="2">G4-H4</f>
        <v>0</v>
      </c>
    </row>
    <row r="5" spans="1:9" x14ac:dyDescent="0.2">
      <c r="A5" s="226">
        <f t="shared" ref="A5:A34" si="3">A4+1</f>
        <v>1</v>
      </c>
      <c r="B5" s="227">
        <f t="shared" ref="B5:B34" si="4">B4+1</f>
        <v>2020</v>
      </c>
      <c r="C5" s="37">
        <f>'T5 Avoided Truck Miles'!D5</f>
        <v>101122.78139085732</v>
      </c>
      <c r="D5" s="37">
        <f>'T5 Avoided Truck Miles'!E5</f>
        <v>34381.745672891491</v>
      </c>
      <c r="E5" s="37">
        <f>'T3 Inputs'!$B$11</f>
        <v>25</v>
      </c>
      <c r="F5" s="37">
        <f>'T3 Inputs'!$B$12</f>
        <v>18.75</v>
      </c>
      <c r="G5" s="37">
        <f t="shared" si="0"/>
        <v>2528069.5347714331</v>
      </c>
      <c r="H5" s="37">
        <f t="shared" si="1"/>
        <v>644657.73136671551</v>
      </c>
      <c r="I5" s="177">
        <f t="shared" si="2"/>
        <v>1883411.8034047177</v>
      </c>
    </row>
    <row r="6" spans="1:9" x14ac:dyDescent="0.2">
      <c r="A6" s="226">
        <f t="shared" si="3"/>
        <v>2</v>
      </c>
      <c r="B6" s="227">
        <f t="shared" si="4"/>
        <v>2021</v>
      </c>
      <c r="C6" s="37">
        <f>'T5 Avoided Truck Miles'!D6</f>
        <v>109953.0478002812</v>
      </c>
      <c r="D6" s="37">
        <f>'T5 Avoided Truck Miles'!E6</f>
        <v>37384.036252095604</v>
      </c>
      <c r="E6" s="37">
        <f>'T3 Inputs'!$B$11</f>
        <v>25</v>
      </c>
      <c r="F6" s="37">
        <f>'T3 Inputs'!$B$12</f>
        <v>18.75</v>
      </c>
      <c r="G6" s="37">
        <f t="shared" si="0"/>
        <v>2748826.1950070299</v>
      </c>
      <c r="H6" s="37">
        <f t="shared" si="1"/>
        <v>700950.67972679262</v>
      </c>
      <c r="I6" s="177">
        <f t="shared" si="2"/>
        <v>2047875.5152802374</v>
      </c>
    </row>
    <row r="7" spans="1:9" x14ac:dyDescent="0.2">
      <c r="A7" s="226">
        <f t="shared" si="3"/>
        <v>3</v>
      </c>
      <c r="B7" s="227">
        <f t="shared" si="4"/>
        <v>2022</v>
      </c>
      <c r="C7" s="37">
        <f>'T5 Avoided Truck Miles'!D7</f>
        <v>109953.0478002812</v>
      </c>
      <c r="D7" s="37">
        <f>'T5 Avoided Truck Miles'!E7</f>
        <v>37384.036252095604</v>
      </c>
      <c r="E7" s="37">
        <f>'T3 Inputs'!$B$11</f>
        <v>25</v>
      </c>
      <c r="F7" s="37">
        <f>'T3 Inputs'!$B$12</f>
        <v>18.75</v>
      </c>
      <c r="G7" s="37">
        <f t="shared" si="0"/>
        <v>2748826.1950070299</v>
      </c>
      <c r="H7" s="37">
        <f t="shared" si="1"/>
        <v>700950.67972679262</v>
      </c>
      <c r="I7" s="177">
        <f t="shared" si="2"/>
        <v>2047875.5152802374</v>
      </c>
    </row>
    <row r="8" spans="1:9" x14ac:dyDescent="0.2">
      <c r="A8" s="226">
        <f t="shared" si="3"/>
        <v>4</v>
      </c>
      <c r="B8" s="227">
        <f t="shared" si="4"/>
        <v>2023</v>
      </c>
      <c r="C8" s="37">
        <f>'T5 Avoided Truck Miles'!D8</f>
        <v>109953.0478002812</v>
      </c>
      <c r="D8" s="37">
        <f>'T5 Avoided Truck Miles'!E8</f>
        <v>37384.036252095604</v>
      </c>
      <c r="E8" s="37">
        <f>'T3 Inputs'!$B$11</f>
        <v>25</v>
      </c>
      <c r="F8" s="37">
        <f>'T3 Inputs'!$B$12</f>
        <v>18.75</v>
      </c>
      <c r="G8" s="37">
        <f t="shared" si="0"/>
        <v>2748826.1950070299</v>
      </c>
      <c r="H8" s="37">
        <f t="shared" si="1"/>
        <v>700950.67972679262</v>
      </c>
      <c r="I8" s="177">
        <f t="shared" si="2"/>
        <v>2047875.5152802374</v>
      </c>
    </row>
    <row r="9" spans="1:9" x14ac:dyDescent="0.2">
      <c r="A9" s="226">
        <f t="shared" si="3"/>
        <v>5</v>
      </c>
      <c r="B9" s="227">
        <f t="shared" si="4"/>
        <v>2024</v>
      </c>
      <c r="C9" s="37">
        <f>'T5 Avoided Truck Miles'!D9</f>
        <v>109953.0478002812</v>
      </c>
      <c r="D9" s="37">
        <f>'T5 Avoided Truck Miles'!E9</f>
        <v>37384.036252095604</v>
      </c>
      <c r="E9" s="37">
        <f>'T3 Inputs'!$B$11</f>
        <v>25</v>
      </c>
      <c r="F9" s="37">
        <f>'T3 Inputs'!$B$12</f>
        <v>18.75</v>
      </c>
      <c r="G9" s="37">
        <f t="shared" si="0"/>
        <v>2748826.1950070299</v>
      </c>
      <c r="H9" s="37">
        <f t="shared" si="1"/>
        <v>700950.67972679262</v>
      </c>
      <c r="I9" s="177">
        <f t="shared" si="2"/>
        <v>2047875.5152802374</v>
      </c>
    </row>
    <row r="10" spans="1:9" x14ac:dyDescent="0.2">
      <c r="A10" s="226">
        <f t="shared" si="3"/>
        <v>6</v>
      </c>
      <c r="B10" s="227">
        <f t="shared" si="4"/>
        <v>2025</v>
      </c>
      <c r="C10" s="37">
        <f>'T5 Avoided Truck Miles'!D10</f>
        <v>109953.0478002812</v>
      </c>
      <c r="D10" s="37">
        <f>'T5 Avoided Truck Miles'!E10</f>
        <v>37384.036252095604</v>
      </c>
      <c r="E10" s="37">
        <f>'T3 Inputs'!$B$11</f>
        <v>25</v>
      </c>
      <c r="F10" s="37">
        <f>'T3 Inputs'!$B$12</f>
        <v>18.75</v>
      </c>
      <c r="G10" s="37">
        <f t="shared" si="0"/>
        <v>2748826.1950070299</v>
      </c>
      <c r="H10" s="37">
        <f t="shared" si="1"/>
        <v>700950.67972679262</v>
      </c>
      <c r="I10" s="177">
        <f t="shared" si="2"/>
        <v>2047875.5152802374</v>
      </c>
    </row>
    <row r="11" spans="1:9" x14ac:dyDescent="0.2">
      <c r="A11" s="226">
        <f t="shared" si="3"/>
        <v>7</v>
      </c>
      <c r="B11" s="227">
        <f t="shared" si="4"/>
        <v>2026</v>
      </c>
      <c r="C11" s="37">
        <f>'T5 Avoided Truck Miles'!D11</f>
        <v>109953.0478002812</v>
      </c>
      <c r="D11" s="37">
        <f>'T5 Avoided Truck Miles'!E11</f>
        <v>37384.036252095604</v>
      </c>
      <c r="E11" s="37">
        <f>'T3 Inputs'!$B$11</f>
        <v>25</v>
      </c>
      <c r="F11" s="37">
        <f>'T3 Inputs'!$B$12</f>
        <v>18.75</v>
      </c>
      <c r="G11" s="37">
        <f t="shared" si="0"/>
        <v>2748826.1950070299</v>
      </c>
      <c r="H11" s="37">
        <f t="shared" si="1"/>
        <v>700950.67972679262</v>
      </c>
      <c r="I11" s="177">
        <f t="shared" si="2"/>
        <v>2047875.5152802374</v>
      </c>
    </row>
    <row r="12" spans="1:9" x14ac:dyDescent="0.2">
      <c r="A12" s="226">
        <f t="shared" si="3"/>
        <v>8</v>
      </c>
      <c r="B12" s="227">
        <f t="shared" si="4"/>
        <v>2027</v>
      </c>
      <c r="C12" s="37">
        <f>'T5 Avoided Truck Miles'!D12</f>
        <v>109953.0478002812</v>
      </c>
      <c r="D12" s="37">
        <f>'T5 Avoided Truck Miles'!E12</f>
        <v>37384.036252095604</v>
      </c>
      <c r="E12" s="37">
        <f>'T3 Inputs'!$B$11</f>
        <v>25</v>
      </c>
      <c r="F12" s="37">
        <f>'T3 Inputs'!$B$12</f>
        <v>18.75</v>
      </c>
      <c r="G12" s="37">
        <f t="shared" si="0"/>
        <v>2748826.1950070299</v>
      </c>
      <c r="H12" s="37">
        <f t="shared" si="1"/>
        <v>700950.67972679262</v>
      </c>
      <c r="I12" s="177">
        <f t="shared" si="2"/>
        <v>2047875.5152802374</v>
      </c>
    </row>
    <row r="13" spans="1:9" x14ac:dyDescent="0.2">
      <c r="A13" s="226">
        <f t="shared" si="3"/>
        <v>9</v>
      </c>
      <c r="B13" s="227">
        <f t="shared" si="4"/>
        <v>2028</v>
      </c>
      <c r="C13" s="37">
        <f>'T5 Avoided Truck Miles'!D13</f>
        <v>109953.0478002812</v>
      </c>
      <c r="D13" s="37">
        <f>'T5 Avoided Truck Miles'!E13</f>
        <v>37384.036252095604</v>
      </c>
      <c r="E13" s="37">
        <f>'T3 Inputs'!$B$11</f>
        <v>25</v>
      </c>
      <c r="F13" s="37">
        <f>'T3 Inputs'!$B$12</f>
        <v>18.75</v>
      </c>
      <c r="G13" s="37">
        <f t="shared" si="0"/>
        <v>2748826.1950070299</v>
      </c>
      <c r="H13" s="37">
        <f t="shared" si="1"/>
        <v>700950.67972679262</v>
      </c>
      <c r="I13" s="177">
        <f t="shared" si="2"/>
        <v>2047875.5152802374</v>
      </c>
    </row>
    <row r="14" spans="1:9" x14ac:dyDescent="0.2">
      <c r="A14" s="226">
        <f t="shared" si="3"/>
        <v>10</v>
      </c>
      <c r="B14" s="227">
        <f t="shared" si="4"/>
        <v>2029</v>
      </c>
      <c r="C14" s="37">
        <f>'T5 Avoided Truck Miles'!D14</f>
        <v>109953.0478002812</v>
      </c>
      <c r="D14" s="37">
        <f>'T5 Avoided Truck Miles'!E14</f>
        <v>37384.036252095604</v>
      </c>
      <c r="E14" s="37">
        <f>'T3 Inputs'!$B$11</f>
        <v>25</v>
      </c>
      <c r="F14" s="37">
        <f>'T3 Inputs'!$B$12</f>
        <v>18.75</v>
      </c>
      <c r="G14" s="37">
        <f t="shared" si="0"/>
        <v>2748826.1950070299</v>
      </c>
      <c r="H14" s="37">
        <f t="shared" si="1"/>
        <v>700950.67972679262</v>
      </c>
      <c r="I14" s="177">
        <f t="shared" si="2"/>
        <v>2047875.5152802374</v>
      </c>
    </row>
    <row r="15" spans="1:9" x14ac:dyDescent="0.2">
      <c r="A15" s="226">
        <f t="shared" si="3"/>
        <v>11</v>
      </c>
      <c r="B15" s="227">
        <f t="shared" si="4"/>
        <v>2030</v>
      </c>
      <c r="C15" s="37">
        <f>'T5 Avoided Truck Miles'!D15</f>
        <v>109953.0478002812</v>
      </c>
      <c r="D15" s="37">
        <f>'T5 Avoided Truck Miles'!E15</f>
        <v>37384.036252095604</v>
      </c>
      <c r="E15" s="37">
        <f>'T3 Inputs'!$B$11</f>
        <v>25</v>
      </c>
      <c r="F15" s="37">
        <f>'T3 Inputs'!$B$12</f>
        <v>18.75</v>
      </c>
      <c r="G15" s="37">
        <f t="shared" si="0"/>
        <v>2748826.1950070299</v>
      </c>
      <c r="H15" s="37">
        <f t="shared" si="1"/>
        <v>700950.67972679262</v>
      </c>
      <c r="I15" s="177">
        <f t="shared" si="2"/>
        <v>2047875.5152802374</v>
      </c>
    </row>
    <row r="16" spans="1:9" x14ac:dyDescent="0.2">
      <c r="A16" s="226">
        <f t="shared" si="3"/>
        <v>12</v>
      </c>
      <c r="B16" s="227">
        <f t="shared" si="4"/>
        <v>2031</v>
      </c>
      <c r="C16" s="37">
        <f>'T5 Avoided Truck Miles'!D16</f>
        <v>109953.0478002812</v>
      </c>
      <c r="D16" s="37">
        <f>'T5 Avoided Truck Miles'!E16</f>
        <v>37384.036252095604</v>
      </c>
      <c r="E16" s="37">
        <f>'T3 Inputs'!$B$11</f>
        <v>25</v>
      </c>
      <c r="F16" s="37">
        <f>'T3 Inputs'!$B$12</f>
        <v>18.75</v>
      </c>
      <c r="G16" s="37">
        <f t="shared" si="0"/>
        <v>2748826.1950070299</v>
      </c>
      <c r="H16" s="37">
        <f t="shared" si="1"/>
        <v>700950.67972679262</v>
      </c>
      <c r="I16" s="177">
        <f t="shared" si="2"/>
        <v>2047875.5152802374</v>
      </c>
    </row>
    <row r="17" spans="1:9" x14ac:dyDescent="0.2">
      <c r="A17" s="226">
        <f t="shared" si="3"/>
        <v>13</v>
      </c>
      <c r="B17" s="227">
        <f t="shared" si="4"/>
        <v>2032</v>
      </c>
      <c r="C17" s="37">
        <f>'T5 Avoided Truck Miles'!D17</f>
        <v>109953.0478002812</v>
      </c>
      <c r="D17" s="37">
        <f>'T5 Avoided Truck Miles'!E17</f>
        <v>37384.036252095604</v>
      </c>
      <c r="E17" s="37">
        <f>'T3 Inputs'!$B$11</f>
        <v>25</v>
      </c>
      <c r="F17" s="37">
        <f>'T3 Inputs'!$B$12</f>
        <v>18.75</v>
      </c>
      <c r="G17" s="37">
        <f t="shared" si="0"/>
        <v>2748826.1950070299</v>
      </c>
      <c r="H17" s="37">
        <f t="shared" si="1"/>
        <v>700950.67972679262</v>
      </c>
      <c r="I17" s="177">
        <f t="shared" si="2"/>
        <v>2047875.5152802374</v>
      </c>
    </row>
    <row r="18" spans="1:9" x14ac:dyDescent="0.2">
      <c r="A18" s="226">
        <f t="shared" si="3"/>
        <v>14</v>
      </c>
      <c r="B18" s="227">
        <f t="shared" si="4"/>
        <v>2033</v>
      </c>
      <c r="C18" s="37">
        <f>'T5 Avoided Truck Miles'!D18</f>
        <v>109953.0478002812</v>
      </c>
      <c r="D18" s="37">
        <f>'T5 Avoided Truck Miles'!E18</f>
        <v>37384.036252095604</v>
      </c>
      <c r="E18" s="37">
        <f>'T3 Inputs'!$B$11</f>
        <v>25</v>
      </c>
      <c r="F18" s="37">
        <f>'T3 Inputs'!$B$12</f>
        <v>18.75</v>
      </c>
      <c r="G18" s="37">
        <f t="shared" si="0"/>
        <v>2748826.1950070299</v>
      </c>
      <c r="H18" s="37">
        <f t="shared" si="1"/>
        <v>700950.67972679262</v>
      </c>
      <c r="I18" s="177">
        <f t="shared" si="2"/>
        <v>2047875.5152802374</v>
      </c>
    </row>
    <row r="19" spans="1:9" x14ac:dyDescent="0.2">
      <c r="A19" s="226">
        <f t="shared" si="3"/>
        <v>15</v>
      </c>
      <c r="B19" s="227">
        <f t="shared" si="4"/>
        <v>2034</v>
      </c>
      <c r="C19" s="37">
        <f>'T5 Avoided Truck Miles'!D19</f>
        <v>109953.0478002812</v>
      </c>
      <c r="D19" s="37">
        <f>'T5 Avoided Truck Miles'!E19</f>
        <v>37384.036252095604</v>
      </c>
      <c r="E19" s="37">
        <f>'T3 Inputs'!$B$11</f>
        <v>25</v>
      </c>
      <c r="F19" s="37">
        <f>'T3 Inputs'!$B$12</f>
        <v>18.75</v>
      </c>
      <c r="G19" s="37">
        <f t="shared" si="0"/>
        <v>2748826.1950070299</v>
      </c>
      <c r="H19" s="37">
        <f t="shared" si="1"/>
        <v>700950.67972679262</v>
      </c>
      <c r="I19" s="177">
        <f t="shared" si="2"/>
        <v>2047875.5152802374</v>
      </c>
    </row>
    <row r="20" spans="1:9" x14ac:dyDescent="0.2">
      <c r="A20" s="226">
        <f t="shared" si="3"/>
        <v>16</v>
      </c>
      <c r="B20" s="227">
        <f t="shared" si="4"/>
        <v>2035</v>
      </c>
      <c r="C20" s="37">
        <f>'T5 Avoided Truck Miles'!D20</f>
        <v>109953.0478002812</v>
      </c>
      <c r="D20" s="37">
        <f>'T5 Avoided Truck Miles'!E20</f>
        <v>37384.036252095604</v>
      </c>
      <c r="E20" s="37">
        <f>'T3 Inputs'!$B$11</f>
        <v>25</v>
      </c>
      <c r="F20" s="37">
        <f>'T3 Inputs'!$B$12</f>
        <v>18.75</v>
      </c>
      <c r="G20" s="37">
        <f t="shared" si="0"/>
        <v>2748826.1950070299</v>
      </c>
      <c r="H20" s="37">
        <f t="shared" si="1"/>
        <v>700950.67972679262</v>
      </c>
      <c r="I20" s="177">
        <f t="shared" si="2"/>
        <v>2047875.5152802374</v>
      </c>
    </row>
    <row r="21" spans="1:9" x14ac:dyDescent="0.2">
      <c r="A21" s="226">
        <f t="shared" si="3"/>
        <v>17</v>
      </c>
      <c r="B21" s="227">
        <f t="shared" si="4"/>
        <v>2036</v>
      </c>
      <c r="C21" s="37">
        <f>'T5 Avoided Truck Miles'!D21</f>
        <v>109953.0478002812</v>
      </c>
      <c r="D21" s="37">
        <f>'T5 Avoided Truck Miles'!E21</f>
        <v>37384.036252095604</v>
      </c>
      <c r="E21" s="37">
        <f>'T3 Inputs'!$B$11</f>
        <v>25</v>
      </c>
      <c r="F21" s="37">
        <f>'T3 Inputs'!$B$12</f>
        <v>18.75</v>
      </c>
      <c r="G21" s="37">
        <f t="shared" si="0"/>
        <v>2748826.1950070299</v>
      </c>
      <c r="H21" s="37">
        <f t="shared" si="1"/>
        <v>700950.67972679262</v>
      </c>
      <c r="I21" s="177">
        <f t="shared" si="2"/>
        <v>2047875.5152802374</v>
      </c>
    </row>
    <row r="22" spans="1:9" x14ac:dyDescent="0.2">
      <c r="A22" s="226">
        <f t="shared" si="3"/>
        <v>18</v>
      </c>
      <c r="B22" s="227">
        <f t="shared" si="4"/>
        <v>2037</v>
      </c>
      <c r="C22" s="37">
        <f>'T5 Avoided Truck Miles'!D22</f>
        <v>109953.0478002812</v>
      </c>
      <c r="D22" s="37">
        <f>'T5 Avoided Truck Miles'!E22</f>
        <v>37384.036252095604</v>
      </c>
      <c r="E22" s="37">
        <f>'T3 Inputs'!$B$11</f>
        <v>25</v>
      </c>
      <c r="F22" s="37">
        <f>'T3 Inputs'!$B$12</f>
        <v>18.75</v>
      </c>
      <c r="G22" s="37">
        <f t="shared" si="0"/>
        <v>2748826.1950070299</v>
      </c>
      <c r="H22" s="37">
        <f t="shared" si="1"/>
        <v>700950.67972679262</v>
      </c>
      <c r="I22" s="177">
        <f t="shared" si="2"/>
        <v>2047875.5152802374</v>
      </c>
    </row>
    <row r="23" spans="1:9" x14ac:dyDescent="0.2">
      <c r="A23" s="226">
        <f t="shared" si="3"/>
        <v>19</v>
      </c>
      <c r="B23" s="227">
        <f t="shared" si="4"/>
        <v>2038</v>
      </c>
      <c r="C23" s="37">
        <f>'T5 Avoided Truck Miles'!D23</f>
        <v>109953.0478002812</v>
      </c>
      <c r="D23" s="37">
        <f>'T5 Avoided Truck Miles'!E23</f>
        <v>37384.036252095604</v>
      </c>
      <c r="E23" s="37">
        <f>'T3 Inputs'!$B$11</f>
        <v>25</v>
      </c>
      <c r="F23" s="37">
        <f>'T3 Inputs'!$B$12</f>
        <v>18.75</v>
      </c>
      <c r="G23" s="37">
        <f t="shared" si="0"/>
        <v>2748826.1950070299</v>
      </c>
      <c r="H23" s="37">
        <f t="shared" si="1"/>
        <v>700950.67972679262</v>
      </c>
      <c r="I23" s="177">
        <f t="shared" si="2"/>
        <v>2047875.5152802374</v>
      </c>
    </row>
    <row r="24" spans="1:9" x14ac:dyDescent="0.2">
      <c r="A24" s="226">
        <f t="shared" si="3"/>
        <v>20</v>
      </c>
      <c r="B24" s="227">
        <f t="shared" si="4"/>
        <v>2039</v>
      </c>
      <c r="C24" s="37">
        <f>'T5 Avoided Truck Miles'!D24</f>
        <v>109953.0478002812</v>
      </c>
      <c r="D24" s="37">
        <f>'T5 Avoided Truck Miles'!E24</f>
        <v>37384.036252095604</v>
      </c>
      <c r="E24" s="37">
        <f>'T3 Inputs'!$B$11</f>
        <v>25</v>
      </c>
      <c r="F24" s="37">
        <f>'T3 Inputs'!$B$12</f>
        <v>18.75</v>
      </c>
      <c r="G24" s="37">
        <f t="shared" si="0"/>
        <v>2748826.1950070299</v>
      </c>
      <c r="H24" s="37">
        <f t="shared" si="1"/>
        <v>700950.67972679262</v>
      </c>
      <c r="I24" s="177">
        <f t="shared" si="2"/>
        <v>2047875.5152802374</v>
      </c>
    </row>
    <row r="25" spans="1:9" x14ac:dyDescent="0.2">
      <c r="A25" s="226">
        <f t="shared" si="3"/>
        <v>21</v>
      </c>
      <c r="B25" s="227">
        <f t="shared" si="4"/>
        <v>2040</v>
      </c>
      <c r="C25" s="37">
        <f>'T5 Avoided Truck Miles'!D25</f>
        <v>109953.0478002812</v>
      </c>
      <c r="D25" s="37">
        <f>'T5 Avoided Truck Miles'!E25</f>
        <v>37384.036252095604</v>
      </c>
      <c r="E25" s="37">
        <f>'T3 Inputs'!$B$11</f>
        <v>25</v>
      </c>
      <c r="F25" s="37">
        <f>'T3 Inputs'!$B$12</f>
        <v>18.75</v>
      </c>
      <c r="G25" s="37">
        <f t="shared" si="0"/>
        <v>2748826.1950070299</v>
      </c>
      <c r="H25" s="37">
        <f t="shared" si="1"/>
        <v>700950.67972679262</v>
      </c>
      <c r="I25" s="177">
        <f t="shared" si="2"/>
        <v>2047875.5152802374</v>
      </c>
    </row>
    <row r="26" spans="1:9" x14ac:dyDescent="0.2">
      <c r="A26" s="226">
        <f t="shared" si="3"/>
        <v>22</v>
      </c>
      <c r="B26" s="227">
        <f t="shared" si="4"/>
        <v>2041</v>
      </c>
      <c r="C26" s="37">
        <f>'T5 Avoided Truck Miles'!D26</f>
        <v>109953.0478002812</v>
      </c>
      <c r="D26" s="37">
        <f>'T5 Avoided Truck Miles'!E26</f>
        <v>37384.036252095604</v>
      </c>
      <c r="E26" s="37">
        <f>'T3 Inputs'!$B$11</f>
        <v>25</v>
      </c>
      <c r="F26" s="37">
        <f>'T3 Inputs'!$B$12</f>
        <v>18.75</v>
      </c>
      <c r="G26" s="37">
        <f t="shared" si="0"/>
        <v>2748826.1950070299</v>
      </c>
      <c r="H26" s="37">
        <f t="shared" si="1"/>
        <v>700950.67972679262</v>
      </c>
      <c r="I26" s="177">
        <f t="shared" si="2"/>
        <v>2047875.5152802374</v>
      </c>
    </row>
    <row r="27" spans="1:9" x14ac:dyDescent="0.2">
      <c r="A27" s="226">
        <f t="shared" si="3"/>
        <v>23</v>
      </c>
      <c r="B27" s="227">
        <f t="shared" si="4"/>
        <v>2042</v>
      </c>
      <c r="C27" s="37">
        <f>'T5 Avoided Truck Miles'!D27</f>
        <v>109953.0478002812</v>
      </c>
      <c r="D27" s="37">
        <f>'T5 Avoided Truck Miles'!E27</f>
        <v>37384.036252095604</v>
      </c>
      <c r="E27" s="37">
        <f>'T3 Inputs'!$B$11</f>
        <v>25</v>
      </c>
      <c r="F27" s="37">
        <f>'T3 Inputs'!$B$12</f>
        <v>18.75</v>
      </c>
      <c r="G27" s="37">
        <f t="shared" si="0"/>
        <v>2748826.1950070299</v>
      </c>
      <c r="H27" s="37">
        <f t="shared" si="1"/>
        <v>700950.67972679262</v>
      </c>
      <c r="I27" s="177">
        <f t="shared" si="2"/>
        <v>2047875.5152802374</v>
      </c>
    </row>
    <row r="28" spans="1:9" x14ac:dyDescent="0.2">
      <c r="A28" s="226">
        <f t="shared" si="3"/>
        <v>24</v>
      </c>
      <c r="B28" s="227">
        <f t="shared" si="4"/>
        <v>2043</v>
      </c>
      <c r="C28" s="37">
        <f>'T5 Avoided Truck Miles'!D28</f>
        <v>109953.0478002812</v>
      </c>
      <c r="D28" s="37">
        <f>'T5 Avoided Truck Miles'!E28</f>
        <v>37384.036252095604</v>
      </c>
      <c r="E28" s="37">
        <f>'T3 Inputs'!$B$11</f>
        <v>25</v>
      </c>
      <c r="F28" s="37">
        <f>'T3 Inputs'!$B$12</f>
        <v>18.75</v>
      </c>
      <c r="G28" s="37">
        <f t="shared" si="0"/>
        <v>2748826.1950070299</v>
      </c>
      <c r="H28" s="37">
        <f t="shared" si="1"/>
        <v>700950.67972679262</v>
      </c>
      <c r="I28" s="177">
        <f t="shared" si="2"/>
        <v>2047875.5152802374</v>
      </c>
    </row>
    <row r="29" spans="1:9" x14ac:dyDescent="0.2">
      <c r="A29" s="226">
        <f t="shared" si="3"/>
        <v>25</v>
      </c>
      <c r="B29" s="227">
        <f t="shared" si="4"/>
        <v>2044</v>
      </c>
      <c r="C29" s="37">
        <f>'T5 Avoided Truck Miles'!D29</f>
        <v>109953.0478002812</v>
      </c>
      <c r="D29" s="37">
        <f>'T5 Avoided Truck Miles'!E29</f>
        <v>37384.036252095604</v>
      </c>
      <c r="E29" s="37">
        <f>'T3 Inputs'!$B$11</f>
        <v>25</v>
      </c>
      <c r="F29" s="37">
        <f>'T3 Inputs'!$B$12</f>
        <v>18.75</v>
      </c>
      <c r="G29" s="37">
        <f t="shared" si="0"/>
        <v>2748826.1950070299</v>
      </c>
      <c r="H29" s="37">
        <f t="shared" si="1"/>
        <v>700950.67972679262</v>
      </c>
      <c r="I29" s="177">
        <f t="shared" si="2"/>
        <v>2047875.5152802374</v>
      </c>
    </row>
    <row r="30" spans="1:9" x14ac:dyDescent="0.2">
      <c r="A30" s="226">
        <f t="shared" si="3"/>
        <v>26</v>
      </c>
      <c r="B30" s="227">
        <f t="shared" si="4"/>
        <v>2045</v>
      </c>
      <c r="C30" s="37">
        <f>'T5 Avoided Truck Miles'!D30</f>
        <v>109953.0478002812</v>
      </c>
      <c r="D30" s="37">
        <f>'T5 Avoided Truck Miles'!E30</f>
        <v>37384.036252095604</v>
      </c>
      <c r="E30" s="37">
        <f>'T3 Inputs'!$B$11</f>
        <v>25</v>
      </c>
      <c r="F30" s="37">
        <f>'T3 Inputs'!$B$12</f>
        <v>18.75</v>
      </c>
      <c r="G30" s="37">
        <f t="shared" si="0"/>
        <v>2748826.1950070299</v>
      </c>
      <c r="H30" s="37">
        <f t="shared" si="1"/>
        <v>700950.67972679262</v>
      </c>
      <c r="I30" s="177">
        <f t="shared" si="2"/>
        <v>2047875.5152802374</v>
      </c>
    </row>
    <row r="31" spans="1:9" x14ac:dyDescent="0.2">
      <c r="A31" s="226">
        <f t="shared" si="3"/>
        <v>27</v>
      </c>
      <c r="B31" s="227">
        <f t="shared" si="4"/>
        <v>2046</v>
      </c>
      <c r="C31" s="37">
        <f>'T5 Avoided Truck Miles'!D31</f>
        <v>109953.0478002812</v>
      </c>
      <c r="D31" s="37">
        <f>'T5 Avoided Truck Miles'!E31</f>
        <v>37384.036252095604</v>
      </c>
      <c r="E31" s="37">
        <f>'T3 Inputs'!$B$11</f>
        <v>25</v>
      </c>
      <c r="F31" s="37">
        <f>'T3 Inputs'!$B$12</f>
        <v>18.75</v>
      </c>
      <c r="G31" s="37">
        <f t="shared" si="0"/>
        <v>2748826.1950070299</v>
      </c>
      <c r="H31" s="37">
        <f t="shared" si="1"/>
        <v>700950.67972679262</v>
      </c>
      <c r="I31" s="177">
        <f t="shared" si="2"/>
        <v>2047875.5152802374</v>
      </c>
    </row>
    <row r="32" spans="1:9" x14ac:dyDescent="0.2">
      <c r="A32" s="226">
        <f t="shared" si="3"/>
        <v>28</v>
      </c>
      <c r="B32" s="227">
        <f t="shared" si="4"/>
        <v>2047</v>
      </c>
      <c r="C32" s="37">
        <f>'T5 Avoided Truck Miles'!D32</f>
        <v>109953.0478002812</v>
      </c>
      <c r="D32" s="37">
        <f>'T5 Avoided Truck Miles'!E32</f>
        <v>37384.036252095604</v>
      </c>
      <c r="E32" s="37">
        <f>'T3 Inputs'!$B$11</f>
        <v>25</v>
      </c>
      <c r="F32" s="37">
        <f>'T3 Inputs'!$B$12</f>
        <v>18.75</v>
      </c>
      <c r="G32" s="37">
        <f t="shared" si="0"/>
        <v>2748826.1950070299</v>
      </c>
      <c r="H32" s="37">
        <f t="shared" si="1"/>
        <v>700950.67972679262</v>
      </c>
      <c r="I32" s="177">
        <f t="shared" si="2"/>
        <v>2047875.5152802374</v>
      </c>
    </row>
    <row r="33" spans="1:9" x14ac:dyDescent="0.2">
      <c r="A33" s="226">
        <f t="shared" si="3"/>
        <v>29</v>
      </c>
      <c r="B33" s="227">
        <f t="shared" si="4"/>
        <v>2048</v>
      </c>
      <c r="C33" s="37">
        <f>'T5 Avoided Truck Miles'!D33</f>
        <v>109953.0478002812</v>
      </c>
      <c r="D33" s="37">
        <f>'T5 Avoided Truck Miles'!E33</f>
        <v>37384.036252095604</v>
      </c>
      <c r="E33" s="37">
        <f>'T3 Inputs'!$B$11</f>
        <v>25</v>
      </c>
      <c r="F33" s="37">
        <f>'T3 Inputs'!$B$12</f>
        <v>18.75</v>
      </c>
      <c r="G33" s="37">
        <f t="shared" si="0"/>
        <v>2748826.1950070299</v>
      </c>
      <c r="H33" s="37">
        <f t="shared" si="1"/>
        <v>700950.67972679262</v>
      </c>
      <c r="I33" s="177">
        <f t="shared" si="2"/>
        <v>2047875.5152802374</v>
      </c>
    </row>
    <row r="34" spans="1:9" x14ac:dyDescent="0.2">
      <c r="A34" s="226">
        <f t="shared" si="3"/>
        <v>30</v>
      </c>
      <c r="B34" s="227">
        <f t="shared" si="4"/>
        <v>2049</v>
      </c>
      <c r="C34" s="37">
        <f>'T5 Avoided Truck Miles'!D34</f>
        <v>109953.0478002812</v>
      </c>
      <c r="D34" s="37">
        <f>'T5 Avoided Truck Miles'!E34</f>
        <v>37384.036252095604</v>
      </c>
      <c r="E34" s="37">
        <f>'T3 Inputs'!$B$11</f>
        <v>25</v>
      </c>
      <c r="F34" s="37">
        <f>'T3 Inputs'!$B$12</f>
        <v>18.75</v>
      </c>
      <c r="G34" s="37">
        <f t="shared" si="0"/>
        <v>2748826.1950070299</v>
      </c>
      <c r="H34" s="37">
        <f t="shared" si="1"/>
        <v>700950.67972679262</v>
      </c>
      <c r="I34" s="177">
        <f t="shared" si="2"/>
        <v>2047875.5152802374</v>
      </c>
    </row>
    <row r="35" spans="1:9" s="204" customFormat="1" ht="13.5" thickBot="1" x14ac:dyDescent="0.25">
      <c r="A35" s="589" t="s">
        <v>263</v>
      </c>
      <c r="B35" s="590"/>
      <c r="C35" s="178">
        <f>SUM(C3:C34)</f>
        <v>3468295.5940170176</v>
      </c>
      <c r="D35" s="178">
        <f t="shared" ref="D35:I35" si="5">SUM(D3:D34)</f>
        <v>1297053.2234016717</v>
      </c>
      <c r="E35" s="178"/>
      <c r="F35" s="178"/>
      <c r="G35" s="178">
        <f t="shared" si="5"/>
        <v>86707389.850425422</v>
      </c>
      <c r="H35" s="178">
        <f t="shared" si="5"/>
        <v>25435588.103893917</v>
      </c>
      <c r="I35" s="179">
        <f t="shared" si="5"/>
        <v>61271801.746531643</v>
      </c>
    </row>
    <row r="37" spans="1:9" ht="13.5" thickBot="1" x14ac:dyDescent="0.25"/>
    <row r="38" spans="1:9" ht="63.75" x14ac:dyDescent="0.2">
      <c r="A38" s="218" t="s">
        <v>130</v>
      </c>
      <c r="B38" s="163" t="s">
        <v>2</v>
      </c>
      <c r="C38" s="255" t="s">
        <v>264</v>
      </c>
      <c r="D38" s="255" t="s">
        <v>265</v>
      </c>
      <c r="E38" s="255" t="s">
        <v>353</v>
      </c>
      <c r="F38" s="255" t="s">
        <v>354</v>
      </c>
      <c r="G38" s="255" t="s">
        <v>355</v>
      </c>
      <c r="H38" s="255" t="s">
        <v>356</v>
      </c>
      <c r="I38" s="256" t="s">
        <v>357</v>
      </c>
    </row>
    <row r="39" spans="1:9" x14ac:dyDescent="0.2">
      <c r="A39" s="226">
        <f t="shared" ref="A39:A70" si="6">A3</f>
        <v>-1</v>
      </c>
      <c r="B39" s="227">
        <f t="shared" ref="B39:B70" si="7">B3</f>
        <v>2018</v>
      </c>
      <c r="C39" s="37">
        <f>ROUND(C3,-3)</f>
        <v>86000</v>
      </c>
      <c r="D39" s="37">
        <f t="shared" ref="D39:I39" si="8">ROUND(D3,-3)</f>
        <v>86000</v>
      </c>
      <c r="E39" s="37">
        <f t="shared" ref="E39:E70" si="9">E3</f>
        <v>25</v>
      </c>
      <c r="F39" s="37">
        <f t="shared" ref="F39:F70" si="10">F3</f>
        <v>25</v>
      </c>
      <c r="G39" s="37">
        <f t="shared" si="8"/>
        <v>2138000</v>
      </c>
      <c r="H39" s="37">
        <f t="shared" si="8"/>
        <v>2138000</v>
      </c>
      <c r="I39" s="177">
        <f t="shared" si="8"/>
        <v>0</v>
      </c>
    </row>
    <row r="40" spans="1:9" x14ac:dyDescent="0.2">
      <c r="A40" s="226">
        <f t="shared" si="6"/>
        <v>0</v>
      </c>
      <c r="B40" s="227">
        <f t="shared" si="7"/>
        <v>2019</v>
      </c>
      <c r="C40" s="37">
        <f t="shared" ref="C40:I40" si="11">ROUND(C4,-3)</f>
        <v>93000</v>
      </c>
      <c r="D40" s="37">
        <f t="shared" si="11"/>
        <v>93000</v>
      </c>
      <c r="E40" s="37">
        <f t="shared" si="9"/>
        <v>25</v>
      </c>
      <c r="F40" s="37">
        <f t="shared" si="10"/>
        <v>25</v>
      </c>
      <c r="G40" s="37">
        <f t="shared" si="11"/>
        <v>2325000</v>
      </c>
      <c r="H40" s="37">
        <f t="shared" si="11"/>
        <v>2325000</v>
      </c>
      <c r="I40" s="177">
        <f t="shared" si="11"/>
        <v>0</v>
      </c>
    </row>
    <row r="41" spans="1:9" x14ac:dyDescent="0.2">
      <c r="A41" s="226">
        <f t="shared" si="6"/>
        <v>1</v>
      </c>
      <c r="B41" s="227">
        <f t="shared" si="7"/>
        <v>2020</v>
      </c>
      <c r="C41" s="37">
        <f t="shared" ref="C41:I41" si="12">ROUND(C5,-3)</f>
        <v>101000</v>
      </c>
      <c r="D41" s="37">
        <f t="shared" si="12"/>
        <v>34000</v>
      </c>
      <c r="E41" s="37">
        <f t="shared" si="9"/>
        <v>25</v>
      </c>
      <c r="F41" s="37">
        <f t="shared" si="10"/>
        <v>18.75</v>
      </c>
      <c r="G41" s="37">
        <f t="shared" si="12"/>
        <v>2528000</v>
      </c>
      <c r="H41" s="37">
        <f t="shared" si="12"/>
        <v>645000</v>
      </c>
      <c r="I41" s="177">
        <f t="shared" si="12"/>
        <v>1883000</v>
      </c>
    </row>
    <row r="42" spans="1:9" x14ac:dyDescent="0.2">
      <c r="A42" s="226">
        <f t="shared" si="6"/>
        <v>2</v>
      </c>
      <c r="B42" s="227">
        <f t="shared" si="7"/>
        <v>2021</v>
      </c>
      <c r="C42" s="37">
        <f t="shared" ref="C42:I42" si="13">ROUND(C6,-3)</f>
        <v>110000</v>
      </c>
      <c r="D42" s="37">
        <f t="shared" si="13"/>
        <v>37000</v>
      </c>
      <c r="E42" s="37">
        <f t="shared" si="9"/>
        <v>25</v>
      </c>
      <c r="F42" s="37">
        <f t="shared" si="10"/>
        <v>18.75</v>
      </c>
      <c r="G42" s="37">
        <f t="shared" si="13"/>
        <v>2749000</v>
      </c>
      <c r="H42" s="37">
        <f t="shared" si="13"/>
        <v>701000</v>
      </c>
      <c r="I42" s="177">
        <f t="shared" si="13"/>
        <v>2048000</v>
      </c>
    </row>
    <row r="43" spans="1:9" x14ac:dyDescent="0.2">
      <c r="A43" s="226">
        <f t="shared" si="6"/>
        <v>3</v>
      </c>
      <c r="B43" s="227">
        <f t="shared" si="7"/>
        <v>2022</v>
      </c>
      <c r="C43" s="37">
        <f t="shared" ref="C43:I43" si="14">ROUND(C7,-3)</f>
        <v>110000</v>
      </c>
      <c r="D43" s="37">
        <f t="shared" si="14"/>
        <v>37000</v>
      </c>
      <c r="E43" s="37">
        <f t="shared" si="9"/>
        <v>25</v>
      </c>
      <c r="F43" s="37">
        <f t="shared" si="10"/>
        <v>18.75</v>
      </c>
      <c r="G43" s="37">
        <f t="shared" si="14"/>
        <v>2749000</v>
      </c>
      <c r="H43" s="37">
        <f t="shared" si="14"/>
        <v>701000</v>
      </c>
      <c r="I43" s="177">
        <f t="shared" si="14"/>
        <v>2048000</v>
      </c>
    </row>
    <row r="44" spans="1:9" x14ac:dyDescent="0.2">
      <c r="A44" s="226">
        <f t="shared" si="6"/>
        <v>4</v>
      </c>
      <c r="B44" s="227">
        <f t="shared" si="7"/>
        <v>2023</v>
      </c>
      <c r="C44" s="37">
        <f t="shared" ref="C44:I44" si="15">ROUND(C8,-3)</f>
        <v>110000</v>
      </c>
      <c r="D44" s="37">
        <f t="shared" si="15"/>
        <v>37000</v>
      </c>
      <c r="E44" s="37">
        <f t="shared" si="9"/>
        <v>25</v>
      </c>
      <c r="F44" s="37">
        <f t="shared" si="10"/>
        <v>18.75</v>
      </c>
      <c r="G44" s="37">
        <f t="shared" si="15"/>
        <v>2749000</v>
      </c>
      <c r="H44" s="37">
        <f t="shared" si="15"/>
        <v>701000</v>
      </c>
      <c r="I44" s="177">
        <f t="shared" si="15"/>
        <v>2048000</v>
      </c>
    </row>
    <row r="45" spans="1:9" x14ac:dyDescent="0.2">
      <c r="A45" s="226">
        <f t="shared" si="6"/>
        <v>5</v>
      </c>
      <c r="B45" s="227">
        <f t="shared" si="7"/>
        <v>2024</v>
      </c>
      <c r="C45" s="37">
        <f t="shared" ref="C45:I45" si="16">ROUND(C9,-3)</f>
        <v>110000</v>
      </c>
      <c r="D45" s="37">
        <f t="shared" si="16"/>
        <v>37000</v>
      </c>
      <c r="E45" s="37">
        <f t="shared" si="9"/>
        <v>25</v>
      </c>
      <c r="F45" s="37">
        <f t="shared" si="10"/>
        <v>18.75</v>
      </c>
      <c r="G45" s="37">
        <f t="shared" si="16"/>
        <v>2749000</v>
      </c>
      <c r="H45" s="37">
        <f t="shared" si="16"/>
        <v>701000</v>
      </c>
      <c r="I45" s="177">
        <f t="shared" si="16"/>
        <v>2048000</v>
      </c>
    </row>
    <row r="46" spans="1:9" x14ac:dyDescent="0.2">
      <c r="A46" s="226">
        <f t="shared" si="6"/>
        <v>6</v>
      </c>
      <c r="B46" s="227">
        <f t="shared" si="7"/>
        <v>2025</v>
      </c>
      <c r="C46" s="37">
        <f t="shared" ref="C46:I46" si="17">ROUND(C10,-3)</f>
        <v>110000</v>
      </c>
      <c r="D46" s="37">
        <f t="shared" si="17"/>
        <v>37000</v>
      </c>
      <c r="E46" s="37">
        <f t="shared" si="9"/>
        <v>25</v>
      </c>
      <c r="F46" s="37">
        <f t="shared" si="10"/>
        <v>18.75</v>
      </c>
      <c r="G46" s="37">
        <f t="shared" si="17"/>
        <v>2749000</v>
      </c>
      <c r="H46" s="37">
        <f t="shared" si="17"/>
        <v>701000</v>
      </c>
      <c r="I46" s="177">
        <f t="shared" si="17"/>
        <v>2048000</v>
      </c>
    </row>
    <row r="47" spans="1:9" x14ac:dyDescent="0.2">
      <c r="A47" s="226">
        <f t="shared" si="6"/>
        <v>7</v>
      </c>
      <c r="B47" s="227">
        <f t="shared" si="7"/>
        <v>2026</v>
      </c>
      <c r="C47" s="37">
        <f t="shared" ref="C47:I47" si="18">ROUND(C11,-3)</f>
        <v>110000</v>
      </c>
      <c r="D47" s="37">
        <f t="shared" si="18"/>
        <v>37000</v>
      </c>
      <c r="E47" s="37">
        <f t="shared" si="9"/>
        <v>25</v>
      </c>
      <c r="F47" s="37">
        <f t="shared" si="10"/>
        <v>18.75</v>
      </c>
      <c r="G47" s="37">
        <f t="shared" si="18"/>
        <v>2749000</v>
      </c>
      <c r="H47" s="37">
        <f t="shared" si="18"/>
        <v>701000</v>
      </c>
      <c r="I47" s="177">
        <f t="shared" si="18"/>
        <v>2048000</v>
      </c>
    </row>
    <row r="48" spans="1:9" x14ac:dyDescent="0.2">
      <c r="A48" s="226">
        <f t="shared" si="6"/>
        <v>8</v>
      </c>
      <c r="B48" s="227">
        <f t="shared" si="7"/>
        <v>2027</v>
      </c>
      <c r="C48" s="37">
        <f t="shared" ref="C48:I48" si="19">ROUND(C12,-3)</f>
        <v>110000</v>
      </c>
      <c r="D48" s="37">
        <f t="shared" si="19"/>
        <v>37000</v>
      </c>
      <c r="E48" s="37">
        <f t="shared" si="9"/>
        <v>25</v>
      </c>
      <c r="F48" s="37">
        <f t="shared" si="10"/>
        <v>18.75</v>
      </c>
      <c r="G48" s="37">
        <f t="shared" si="19"/>
        <v>2749000</v>
      </c>
      <c r="H48" s="37">
        <f t="shared" si="19"/>
        <v>701000</v>
      </c>
      <c r="I48" s="177">
        <f t="shared" si="19"/>
        <v>2048000</v>
      </c>
    </row>
    <row r="49" spans="1:9" x14ac:dyDescent="0.2">
      <c r="A49" s="226">
        <f t="shared" si="6"/>
        <v>9</v>
      </c>
      <c r="B49" s="227">
        <f t="shared" si="7"/>
        <v>2028</v>
      </c>
      <c r="C49" s="37">
        <f t="shared" ref="C49:I49" si="20">ROUND(C13,-3)</f>
        <v>110000</v>
      </c>
      <c r="D49" s="37">
        <f t="shared" si="20"/>
        <v>37000</v>
      </c>
      <c r="E49" s="37">
        <f t="shared" si="9"/>
        <v>25</v>
      </c>
      <c r="F49" s="37">
        <f t="shared" si="10"/>
        <v>18.75</v>
      </c>
      <c r="G49" s="37">
        <f t="shared" si="20"/>
        <v>2749000</v>
      </c>
      <c r="H49" s="37">
        <f t="shared" si="20"/>
        <v>701000</v>
      </c>
      <c r="I49" s="177">
        <f t="shared" si="20"/>
        <v>2048000</v>
      </c>
    </row>
    <row r="50" spans="1:9" x14ac:dyDescent="0.2">
      <c r="A50" s="226">
        <f t="shared" si="6"/>
        <v>10</v>
      </c>
      <c r="B50" s="227">
        <f t="shared" si="7"/>
        <v>2029</v>
      </c>
      <c r="C50" s="37">
        <f t="shared" ref="C50:I50" si="21">ROUND(C14,-3)</f>
        <v>110000</v>
      </c>
      <c r="D50" s="37">
        <f t="shared" si="21"/>
        <v>37000</v>
      </c>
      <c r="E50" s="37">
        <f t="shared" si="9"/>
        <v>25</v>
      </c>
      <c r="F50" s="37">
        <f t="shared" si="10"/>
        <v>18.75</v>
      </c>
      <c r="G50" s="37">
        <f t="shared" si="21"/>
        <v>2749000</v>
      </c>
      <c r="H50" s="37">
        <f t="shared" si="21"/>
        <v>701000</v>
      </c>
      <c r="I50" s="177">
        <f t="shared" si="21"/>
        <v>2048000</v>
      </c>
    </row>
    <row r="51" spans="1:9" x14ac:dyDescent="0.2">
      <c r="A51" s="226">
        <f t="shared" si="6"/>
        <v>11</v>
      </c>
      <c r="B51" s="227">
        <f t="shared" si="7"/>
        <v>2030</v>
      </c>
      <c r="C51" s="37">
        <f t="shared" ref="C51:I51" si="22">ROUND(C15,-3)</f>
        <v>110000</v>
      </c>
      <c r="D51" s="37">
        <f t="shared" si="22"/>
        <v>37000</v>
      </c>
      <c r="E51" s="37">
        <f t="shared" si="9"/>
        <v>25</v>
      </c>
      <c r="F51" s="37">
        <f t="shared" si="10"/>
        <v>18.75</v>
      </c>
      <c r="G51" s="37">
        <f t="shared" si="22"/>
        <v>2749000</v>
      </c>
      <c r="H51" s="37">
        <f t="shared" si="22"/>
        <v>701000</v>
      </c>
      <c r="I51" s="177">
        <f t="shared" si="22"/>
        <v>2048000</v>
      </c>
    </row>
    <row r="52" spans="1:9" x14ac:dyDescent="0.2">
      <c r="A52" s="226">
        <f t="shared" si="6"/>
        <v>12</v>
      </c>
      <c r="B52" s="227">
        <f t="shared" si="7"/>
        <v>2031</v>
      </c>
      <c r="C52" s="37">
        <f t="shared" ref="C52:I52" si="23">ROUND(C16,-3)</f>
        <v>110000</v>
      </c>
      <c r="D52" s="37">
        <f t="shared" si="23"/>
        <v>37000</v>
      </c>
      <c r="E52" s="37">
        <f t="shared" si="9"/>
        <v>25</v>
      </c>
      <c r="F52" s="37">
        <f t="shared" si="10"/>
        <v>18.75</v>
      </c>
      <c r="G52" s="37">
        <f t="shared" si="23"/>
        <v>2749000</v>
      </c>
      <c r="H52" s="37">
        <f t="shared" si="23"/>
        <v>701000</v>
      </c>
      <c r="I52" s="177">
        <f t="shared" si="23"/>
        <v>2048000</v>
      </c>
    </row>
    <row r="53" spans="1:9" x14ac:dyDescent="0.2">
      <c r="A53" s="226">
        <f t="shared" si="6"/>
        <v>13</v>
      </c>
      <c r="B53" s="227">
        <f t="shared" si="7"/>
        <v>2032</v>
      </c>
      <c r="C53" s="37">
        <f t="shared" ref="C53:I53" si="24">ROUND(C17,-3)</f>
        <v>110000</v>
      </c>
      <c r="D53" s="37">
        <f t="shared" si="24"/>
        <v>37000</v>
      </c>
      <c r="E53" s="37">
        <f t="shared" si="9"/>
        <v>25</v>
      </c>
      <c r="F53" s="37">
        <f t="shared" si="10"/>
        <v>18.75</v>
      </c>
      <c r="G53" s="37">
        <f t="shared" si="24"/>
        <v>2749000</v>
      </c>
      <c r="H53" s="37">
        <f t="shared" si="24"/>
        <v>701000</v>
      </c>
      <c r="I53" s="177">
        <f t="shared" si="24"/>
        <v>2048000</v>
      </c>
    </row>
    <row r="54" spans="1:9" x14ac:dyDescent="0.2">
      <c r="A54" s="226">
        <f t="shared" si="6"/>
        <v>14</v>
      </c>
      <c r="B54" s="227">
        <f t="shared" si="7"/>
        <v>2033</v>
      </c>
      <c r="C54" s="37">
        <f t="shared" ref="C54:I54" si="25">ROUND(C18,-3)</f>
        <v>110000</v>
      </c>
      <c r="D54" s="37">
        <f t="shared" si="25"/>
        <v>37000</v>
      </c>
      <c r="E54" s="37">
        <f t="shared" si="9"/>
        <v>25</v>
      </c>
      <c r="F54" s="37">
        <f t="shared" si="10"/>
        <v>18.75</v>
      </c>
      <c r="G54" s="37">
        <f t="shared" si="25"/>
        <v>2749000</v>
      </c>
      <c r="H54" s="37">
        <f t="shared" si="25"/>
        <v>701000</v>
      </c>
      <c r="I54" s="177">
        <f t="shared" si="25"/>
        <v>2048000</v>
      </c>
    </row>
    <row r="55" spans="1:9" x14ac:dyDescent="0.2">
      <c r="A55" s="226">
        <f t="shared" si="6"/>
        <v>15</v>
      </c>
      <c r="B55" s="227">
        <f t="shared" si="7"/>
        <v>2034</v>
      </c>
      <c r="C55" s="37">
        <f t="shared" ref="C55:I55" si="26">ROUND(C19,-3)</f>
        <v>110000</v>
      </c>
      <c r="D55" s="37">
        <f t="shared" si="26"/>
        <v>37000</v>
      </c>
      <c r="E55" s="37">
        <f t="shared" si="9"/>
        <v>25</v>
      </c>
      <c r="F55" s="37">
        <f t="shared" si="10"/>
        <v>18.75</v>
      </c>
      <c r="G55" s="37">
        <f t="shared" si="26"/>
        <v>2749000</v>
      </c>
      <c r="H55" s="37">
        <f t="shared" si="26"/>
        <v>701000</v>
      </c>
      <c r="I55" s="177">
        <f t="shared" si="26"/>
        <v>2048000</v>
      </c>
    </row>
    <row r="56" spans="1:9" x14ac:dyDescent="0.2">
      <c r="A56" s="226">
        <f t="shared" si="6"/>
        <v>16</v>
      </c>
      <c r="B56" s="227">
        <f t="shared" si="7"/>
        <v>2035</v>
      </c>
      <c r="C56" s="37">
        <f t="shared" ref="C56:I56" si="27">ROUND(C20,-3)</f>
        <v>110000</v>
      </c>
      <c r="D56" s="37">
        <f t="shared" si="27"/>
        <v>37000</v>
      </c>
      <c r="E56" s="37">
        <f t="shared" si="9"/>
        <v>25</v>
      </c>
      <c r="F56" s="37">
        <f t="shared" si="10"/>
        <v>18.75</v>
      </c>
      <c r="G56" s="37">
        <f t="shared" si="27"/>
        <v>2749000</v>
      </c>
      <c r="H56" s="37">
        <f t="shared" si="27"/>
        <v>701000</v>
      </c>
      <c r="I56" s="177">
        <f t="shared" si="27"/>
        <v>2048000</v>
      </c>
    </row>
    <row r="57" spans="1:9" x14ac:dyDescent="0.2">
      <c r="A57" s="226">
        <f t="shared" si="6"/>
        <v>17</v>
      </c>
      <c r="B57" s="227">
        <f t="shared" si="7"/>
        <v>2036</v>
      </c>
      <c r="C57" s="37">
        <f t="shared" ref="C57:I57" si="28">ROUND(C21,-3)</f>
        <v>110000</v>
      </c>
      <c r="D57" s="37">
        <f t="shared" si="28"/>
        <v>37000</v>
      </c>
      <c r="E57" s="37">
        <f t="shared" si="9"/>
        <v>25</v>
      </c>
      <c r="F57" s="37">
        <f t="shared" si="10"/>
        <v>18.75</v>
      </c>
      <c r="G57" s="37">
        <f t="shared" si="28"/>
        <v>2749000</v>
      </c>
      <c r="H57" s="37">
        <f t="shared" si="28"/>
        <v>701000</v>
      </c>
      <c r="I57" s="177">
        <f t="shared" si="28"/>
        <v>2048000</v>
      </c>
    </row>
    <row r="58" spans="1:9" x14ac:dyDescent="0.2">
      <c r="A58" s="226">
        <f t="shared" si="6"/>
        <v>18</v>
      </c>
      <c r="B58" s="227">
        <f t="shared" si="7"/>
        <v>2037</v>
      </c>
      <c r="C58" s="37">
        <f t="shared" ref="C58:I58" si="29">ROUND(C22,-3)</f>
        <v>110000</v>
      </c>
      <c r="D58" s="37">
        <f t="shared" si="29"/>
        <v>37000</v>
      </c>
      <c r="E58" s="37">
        <f t="shared" si="9"/>
        <v>25</v>
      </c>
      <c r="F58" s="37">
        <f t="shared" si="10"/>
        <v>18.75</v>
      </c>
      <c r="G58" s="37">
        <f t="shared" si="29"/>
        <v>2749000</v>
      </c>
      <c r="H58" s="37">
        <f t="shared" si="29"/>
        <v>701000</v>
      </c>
      <c r="I58" s="177">
        <f t="shared" si="29"/>
        <v>2048000</v>
      </c>
    </row>
    <row r="59" spans="1:9" x14ac:dyDescent="0.2">
      <c r="A59" s="226">
        <f t="shared" si="6"/>
        <v>19</v>
      </c>
      <c r="B59" s="227">
        <f t="shared" si="7"/>
        <v>2038</v>
      </c>
      <c r="C59" s="37">
        <f t="shared" ref="C59:I59" si="30">ROUND(C23,-3)</f>
        <v>110000</v>
      </c>
      <c r="D59" s="37">
        <f t="shared" si="30"/>
        <v>37000</v>
      </c>
      <c r="E59" s="37">
        <f t="shared" si="9"/>
        <v>25</v>
      </c>
      <c r="F59" s="37">
        <f t="shared" si="10"/>
        <v>18.75</v>
      </c>
      <c r="G59" s="37">
        <f t="shared" si="30"/>
        <v>2749000</v>
      </c>
      <c r="H59" s="37">
        <f t="shared" si="30"/>
        <v>701000</v>
      </c>
      <c r="I59" s="177">
        <f t="shared" si="30"/>
        <v>2048000</v>
      </c>
    </row>
    <row r="60" spans="1:9" x14ac:dyDescent="0.2">
      <c r="A60" s="226">
        <f t="shared" si="6"/>
        <v>20</v>
      </c>
      <c r="B60" s="227">
        <f t="shared" si="7"/>
        <v>2039</v>
      </c>
      <c r="C60" s="37">
        <f t="shared" ref="C60:I60" si="31">ROUND(C24,-3)</f>
        <v>110000</v>
      </c>
      <c r="D60" s="37">
        <f t="shared" si="31"/>
        <v>37000</v>
      </c>
      <c r="E60" s="37">
        <f t="shared" si="9"/>
        <v>25</v>
      </c>
      <c r="F60" s="37">
        <f t="shared" si="10"/>
        <v>18.75</v>
      </c>
      <c r="G60" s="37">
        <f t="shared" si="31"/>
        <v>2749000</v>
      </c>
      <c r="H60" s="37">
        <f t="shared" si="31"/>
        <v>701000</v>
      </c>
      <c r="I60" s="177">
        <f t="shared" si="31"/>
        <v>2048000</v>
      </c>
    </row>
    <row r="61" spans="1:9" x14ac:dyDescent="0.2">
      <c r="A61" s="226">
        <f t="shared" si="6"/>
        <v>21</v>
      </c>
      <c r="B61" s="227">
        <f t="shared" si="7"/>
        <v>2040</v>
      </c>
      <c r="C61" s="37">
        <f t="shared" ref="C61:I61" si="32">ROUND(C25,-3)</f>
        <v>110000</v>
      </c>
      <c r="D61" s="37">
        <f t="shared" si="32"/>
        <v>37000</v>
      </c>
      <c r="E61" s="37">
        <f t="shared" si="9"/>
        <v>25</v>
      </c>
      <c r="F61" s="37">
        <f t="shared" si="10"/>
        <v>18.75</v>
      </c>
      <c r="G61" s="37">
        <f t="shared" si="32"/>
        <v>2749000</v>
      </c>
      <c r="H61" s="37">
        <f t="shared" si="32"/>
        <v>701000</v>
      </c>
      <c r="I61" s="177">
        <f t="shared" si="32"/>
        <v>2048000</v>
      </c>
    </row>
    <row r="62" spans="1:9" x14ac:dyDescent="0.2">
      <c r="A62" s="226">
        <f t="shared" si="6"/>
        <v>22</v>
      </c>
      <c r="B62" s="227">
        <f t="shared" si="7"/>
        <v>2041</v>
      </c>
      <c r="C62" s="37">
        <f t="shared" ref="C62:I62" si="33">ROUND(C26,-3)</f>
        <v>110000</v>
      </c>
      <c r="D62" s="37">
        <f t="shared" si="33"/>
        <v>37000</v>
      </c>
      <c r="E62" s="37">
        <f t="shared" si="9"/>
        <v>25</v>
      </c>
      <c r="F62" s="37">
        <f t="shared" si="10"/>
        <v>18.75</v>
      </c>
      <c r="G62" s="37">
        <f t="shared" si="33"/>
        <v>2749000</v>
      </c>
      <c r="H62" s="37">
        <f t="shared" si="33"/>
        <v>701000</v>
      </c>
      <c r="I62" s="177">
        <f t="shared" si="33"/>
        <v>2048000</v>
      </c>
    </row>
    <row r="63" spans="1:9" x14ac:dyDescent="0.2">
      <c r="A63" s="226">
        <f t="shared" si="6"/>
        <v>23</v>
      </c>
      <c r="B63" s="227">
        <f t="shared" si="7"/>
        <v>2042</v>
      </c>
      <c r="C63" s="37">
        <f t="shared" ref="C63:I63" si="34">ROUND(C27,-3)</f>
        <v>110000</v>
      </c>
      <c r="D63" s="37">
        <f t="shared" si="34"/>
        <v>37000</v>
      </c>
      <c r="E63" s="37">
        <f t="shared" si="9"/>
        <v>25</v>
      </c>
      <c r="F63" s="37">
        <f t="shared" si="10"/>
        <v>18.75</v>
      </c>
      <c r="G63" s="37">
        <f t="shared" si="34"/>
        <v>2749000</v>
      </c>
      <c r="H63" s="37">
        <f t="shared" si="34"/>
        <v>701000</v>
      </c>
      <c r="I63" s="177">
        <f t="shared" si="34"/>
        <v>2048000</v>
      </c>
    </row>
    <row r="64" spans="1:9" x14ac:dyDescent="0.2">
      <c r="A64" s="226">
        <f t="shared" si="6"/>
        <v>24</v>
      </c>
      <c r="B64" s="227">
        <f t="shared" si="7"/>
        <v>2043</v>
      </c>
      <c r="C64" s="37">
        <f t="shared" ref="C64:I64" si="35">ROUND(C28,-3)</f>
        <v>110000</v>
      </c>
      <c r="D64" s="37">
        <f t="shared" si="35"/>
        <v>37000</v>
      </c>
      <c r="E64" s="37">
        <f t="shared" si="9"/>
        <v>25</v>
      </c>
      <c r="F64" s="37">
        <f t="shared" si="10"/>
        <v>18.75</v>
      </c>
      <c r="G64" s="37">
        <f t="shared" si="35"/>
        <v>2749000</v>
      </c>
      <c r="H64" s="37">
        <f t="shared" si="35"/>
        <v>701000</v>
      </c>
      <c r="I64" s="177">
        <f t="shared" si="35"/>
        <v>2048000</v>
      </c>
    </row>
    <row r="65" spans="1:9" x14ac:dyDescent="0.2">
      <c r="A65" s="226">
        <f t="shared" si="6"/>
        <v>25</v>
      </c>
      <c r="B65" s="227">
        <f t="shared" si="7"/>
        <v>2044</v>
      </c>
      <c r="C65" s="37">
        <f t="shared" ref="C65:I65" si="36">ROUND(C29,-3)</f>
        <v>110000</v>
      </c>
      <c r="D65" s="37">
        <f t="shared" si="36"/>
        <v>37000</v>
      </c>
      <c r="E65" s="37">
        <f t="shared" si="9"/>
        <v>25</v>
      </c>
      <c r="F65" s="37">
        <f t="shared" si="10"/>
        <v>18.75</v>
      </c>
      <c r="G65" s="37">
        <f t="shared" si="36"/>
        <v>2749000</v>
      </c>
      <c r="H65" s="37">
        <f t="shared" si="36"/>
        <v>701000</v>
      </c>
      <c r="I65" s="177">
        <f t="shared" si="36"/>
        <v>2048000</v>
      </c>
    </row>
    <row r="66" spans="1:9" x14ac:dyDescent="0.2">
      <c r="A66" s="226">
        <f t="shared" si="6"/>
        <v>26</v>
      </c>
      <c r="B66" s="227">
        <f t="shared" si="7"/>
        <v>2045</v>
      </c>
      <c r="C66" s="37">
        <f t="shared" ref="C66:I66" si="37">ROUND(C30,-3)</f>
        <v>110000</v>
      </c>
      <c r="D66" s="37">
        <f t="shared" si="37"/>
        <v>37000</v>
      </c>
      <c r="E66" s="37">
        <f t="shared" si="9"/>
        <v>25</v>
      </c>
      <c r="F66" s="37">
        <f t="shared" si="10"/>
        <v>18.75</v>
      </c>
      <c r="G66" s="37">
        <f t="shared" si="37"/>
        <v>2749000</v>
      </c>
      <c r="H66" s="37">
        <f t="shared" si="37"/>
        <v>701000</v>
      </c>
      <c r="I66" s="177">
        <f t="shared" si="37"/>
        <v>2048000</v>
      </c>
    </row>
    <row r="67" spans="1:9" x14ac:dyDescent="0.2">
      <c r="A67" s="226">
        <f t="shared" si="6"/>
        <v>27</v>
      </c>
      <c r="B67" s="227">
        <f t="shared" si="7"/>
        <v>2046</v>
      </c>
      <c r="C67" s="37">
        <f t="shared" ref="C67:I67" si="38">ROUND(C31,-3)</f>
        <v>110000</v>
      </c>
      <c r="D67" s="37">
        <f t="shared" si="38"/>
        <v>37000</v>
      </c>
      <c r="E67" s="37">
        <f t="shared" si="9"/>
        <v>25</v>
      </c>
      <c r="F67" s="37">
        <f t="shared" si="10"/>
        <v>18.75</v>
      </c>
      <c r="G67" s="37">
        <f t="shared" si="38"/>
        <v>2749000</v>
      </c>
      <c r="H67" s="37">
        <f t="shared" si="38"/>
        <v>701000</v>
      </c>
      <c r="I67" s="177">
        <f t="shared" si="38"/>
        <v>2048000</v>
      </c>
    </row>
    <row r="68" spans="1:9" x14ac:dyDescent="0.2">
      <c r="A68" s="226">
        <f t="shared" si="6"/>
        <v>28</v>
      </c>
      <c r="B68" s="227">
        <f t="shared" si="7"/>
        <v>2047</v>
      </c>
      <c r="C68" s="37">
        <f t="shared" ref="C68:I68" si="39">ROUND(C32,-3)</f>
        <v>110000</v>
      </c>
      <c r="D68" s="37">
        <f t="shared" si="39"/>
        <v>37000</v>
      </c>
      <c r="E68" s="37">
        <f t="shared" si="9"/>
        <v>25</v>
      </c>
      <c r="F68" s="37">
        <f t="shared" si="10"/>
        <v>18.75</v>
      </c>
      <c r="G68" s="37">
        <f t="shared" si="39"/>
        <v>2749000</v>
      </c>
      <c r="H68" s="37">
        <f t="shared" si="39"/>
        <v>701000</v>
      </c>
      <c r="I68" s="177">
        <f t="shared" si="39"/>
        <v>2048000</v>
      </c>
    </row>
    <row r="69" spans="1:9" x14ac:dyDescent="0.2">
      <c r="A69" s="226">
        <f t="shared" si="6"/>
        <v>29</v>
      </c>
      <c r="B69" s="227">
        <f t="shared" si="7"/>
        <v>2048</v>
      </c>
      <c r="C69" s="37">
        <f t="shared" ref="C69:I69" si="40">ROUND(C33,-3)</f>
        <v>110000</v>
      </c>
      <c r="D69" s="37">
        <f t="shared" si="40"/>
        <v>37000</v>
      </c>
      <c r="E69" s="37">
        <f t="shared" si="9"/>
        <v>25</v>
      </c>
      <c r="F69" s="37">
        <f t="shared" si="10"/>
        <v>18.75</v>
      </c>
      <c r="G69" s="37">
        <f t="shared" si="40"/>
        <v>2749000</v>
      </c>
      <c r="H69" s="37">
        <f t="shared" si="40"/>
        <v>701000</v>
      </c>
      <c r="I69" s="177">
        <f t="shared" si="40"/>
        <v>2048000</v>
      </c>
    </row>
    <row r="70" spans="1:9" x14ac:dyDescent="0.2">
      <c r="A70" s="226">
        <f t="shared" si="6"/>
        <v>30</v>
      </c>
      <c r="B70" s="227">
        <f t="shared" si="7"/>
        <v>2049</v>
      </c>
      <c r="C70" s="37">
        <f t="shared" ref="C70:I70" si="41">ROUND(C34,-3)</f>
        <v>110000</v>
      </c>
      <c r="D70" s="37">
        <f t="shared" si="41"/>
        <v>37000</v>
      </c>
      <c r="E70" s="37">
        <f t="shared" si="9"/>
        <v>25</v>
      </c>
      <c r="F70" s="37">
        <f t="shared" si="10"/>
        <v>18.75</v>
      </c>
      <c r="G70" s="37">
        <f t="shared" si="41"/>
        <v>2749000</v>
      </c>
      <c r="H70" s="37">
        <f t="shared" si="41"/>
        <v>701000</v>
      </c>
      <c r="I70" s="177">
        <f t="shared" si="41"/>
        <v>2048000</v>
      </c>
    </row>
    <row r="71" spans="1:9" ht="13.5" thickBot="1" x14ac:dyDescent="0.25">
      <c r="A71" s="589" t="s">
        <v>263</v>
      </c>
      <c r="B71" s="590"/>
      <c r="C71" s="178">
        <f t="shared" ref="C71:I71" si="42">ROUND(C35,-3)</f>
        <v>3468000</v>
      </c>
      <c r="D71" s="178">
        <f t="shared" si="42"/>
        <v>1297000</v>
      </c>
      <c r="E71" s="178"/>
      <c r="F71" s="178"/>
      <c r="G71" s="178">
        <f t="shared" si="42"/>
        <v>86707000</v>
      </c>
      <c r="H71" s="178">
        <f t="shared" si="42"/>
        <v>25436000</v>
      </c>
      <c r="I71" s="179">
        <f t="shared" si="42"/>
        <v>61272000</v>
      </c>
    </row>
  </sheetData>
  <mergeCells count="2">
    <mergeCell ref="A35:B35"/>
    <mergeCell ref="A71:B71"/>
  </mergeCells>
  <pageMargins left="0.25" right="0.25" top="0.75" bottom="0.75" header="0.3" footer="0.3"/>
  <pageSetup orientation="portrait" verticalDpi="0"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Normal="100" workbookViewId="0">
      <pane xSplit="2" topLeftCell="C1" activePane="topRight" state="frozen"/>
      <selection pane="topRight"/>
    </sheetView>
  </sheetViews>
  <sheetFormatPr defaultRowHeight="12" x14ac:dyDescent="0.2"/>
  <cols>
    <col min="1" max="2" width="8.7109375" style="235" customWidth="1"/>
    <col min="3" max="3" width="14" style="236" customWidth="1"/>
    <col min="4" max="4" width="14" style="236" bestFit="1" customWidth="1"/>
    <col min="5" max="5" width="11.140625" style="236" customWidth="1"/>
    <col min="6" max="7" width="9.140625" style="239"/>
    <col min="8" max="16384" width="9.140625" style="236"/>
  </cols>
  <sheetData>
    <row r="1" spans="1:7" s="245" customFormat="1" ht="48" x14ac:dyDescent="0.2">
      <c r="A1" s="240" t="s">
        <v>130</v>
      </c>
      <c r="B1" s="101" t="s">
        <v>2</v>
      </c>
      <c r="C1" s="101" t="s">
        <v>151</v>
      </c>
      <c r="D1" s="101" t="s">
        <v>358</v>
      </c>
      <c r="E1" s="156" t="s">
        <v>22</v>
      </c>
      <c r="F1" s="244"/>
      <c r="G1" s="244"/>
    </row>
    <row r="2" spans="1:7" x14ac:dyDescent="0.2">
      <c r="A2" s="246">
        <v>-1</v>
      </c>
      <c r="B2" s="71">
        <v>2018</v>
      </c>
      <c r="C2" s="46">
        <f>'T5 Avoided Truck Miles'!H3</f>
        <v>0</v>
      </c>
      <c r="D2" s="499">
        <f>+'T3 Inputs'!B$8</f>
        <v>7.4</v>
      </c>
      <c r="E2" s="212">
        <f t="shared" ref="E2:E33" si="0">C2/D2</f>
        <v>0</v>
      </c>
    </row>
    <row r="3" spans="1:7" x14ac:dyDescent="0.2">
      <c r="A3" s="246">
        <f>A2+1</f>
        <v>0</v>
      </c>
      <c r="B3" s="70">
        <f>B2+1</f>
        <v>2019</v>
      </c>
      <c r="C3" s="46">
        <f>'T5 Avoided Truck Miles'!H4</f>
        <v>0</v>
      </c>
      <c r="D3" s="499">
        <f>+'T3 Inputs'!B$8</f>
        <v>7.4</v>
      </c>
      <c r="E3" s="212">
        <f t="shared" si="0"/>
        <v>0</v>
      </c>
    </row>
    <row r="4" spans="1:7" x14ac:dyDescent="0.2">
      <c r="A4" s="246">
        <f t="shared" ref="A4:A33" si="1">A3+1</f>
        <v>1</v>
      </c>
      <c r="B4" s="70">
        <f t="shared" ref="B4:B33" si="2">B3+1</f>
        <v>2020</v>
      </c>
      <c r="C4" s="46">
        <f>'T5 Avoided Truck Miles'!H5</f>
        <v>203661.28172118665</v>
      </c>
      <c r="D4" s="499">
        <f>+'T3 Inputs'!B$8</f>
        <v>7.4</v>
      </c>
      <c r="E4" s="212">
        <f>C4/D4</f>
        <v>27521.794827187383</v>
      </c>
    </row>
    <row r="5" spans="1:7" x14ac:dyDescent="0.2">
      <c r="A5" s="246">
        <f t="shared" si="1"/>
        <v>2</v>
      </c>
      <c r="B5" s="70">
        <f t="shared" si="2"/>
        <v>2021</v>
      </c>
      <c r="C5" s="46">
        <f>'T5 Avoided Truck Miles'!H6</f>
        <v>221445.43826976634</v>
      </c>
      <c r="D5" s="499">
        <f>+'T3 Inputs'!B$8</f>
        <v>7.4</v>
      </c>
      <c r="E5" s="212">
        <f t="shared" si="0"/>
        <v>29925.059225644098</v>
      </c>
    </row>
    <row r="6" spans="1:7" x14ac:dyDescent="0.2">
      <c r="A6" s="246">
        <f t="shared" si="1"/>
        <v>3</v>
      </c>
      <c r="B6" s="70">
        <f t="shared" si="2"/>
        <v>2022</v>
      </c>
      <c r="C6" s="46">
        <f>'T5 Avoided Truck Miles'!H7</f>
        <v>221445.43826976634</v>
      </c>
      <c r="D6" s="499">
        <f>+'T3 Inputs'!B$8</f>
        <v>7.4</v>
      </c>
      <c r="E6" s="212">
        <f t="shared" si="0"/>
        <v>29925.059225644098</v>
      </c>
    </row>
    <row r="7" spans="1:7" x14ac:dyDescent="0.2">
      <c r="A7" s="246">
        <f t="shared" si="1"/>
        <v>4</v>
      </c>
      <c r="B7" s="70">
        <f t="shared" si="2"/>
        <v>2023</v>
      </c>
      <c r="C7" s="46">
        <f>'T5 Avoided Truck Miles'!H8</f>
        <v>221445.43826976634</v>
      </c>
      <c r="D7" s="499">
        <f>+'T3 Inputs'!B$8</f>
        <v>7.4</v>
      </c>
      <c r="E7" s="212">
        <f t="shared" si="0"/>
        <v>29925.059225644098</v>
      </c>
    </row>
    <row r="8" spans="1:7" x14ac:dyDescent="0.2">
      <c r="A8" s="246">
        <f t="shared" si="1"/>
        <v>5</v>
      </c>
      <c r="B8" s="70">
        <f t="shared" si="2"/>
        <v>2024</v>
      </c>
      <c r="C8" s="46">
        <f>'T5 Avoided Truck Miles'!H9</f>
        <v>221445.43826976634</v>
      </c>
      <c r="D8" s="499">
        <f>+'T3 Inputs'!B$8</f>
        <v>7.4</v>
      </c>
      <c r="E8" s="212">
        <f t="shared" si="0"/>
        <v>29925.059225644098</v>
      </c>
    </row>
    <row r="9" spans="1:7" x14ac:dyDescent="0.2">
      <c r="A9" s="246">
        <f t="shared" si="1"/>
        <v>6</v>
      </c>
      <c r="B9" s="70">
        <f t="shared" si="2"/>
        <v>2025</v>
      </c>
      <c r="C9" s="46">
        <f>'T5 Avoided Truck Miles'!H10</f>
        <v>221445.43826976634</v>
      </c>
      <c r="D9" s="499">
        <f>+'T3 Inputs'!B$8</f>
        <v>7.4</v>
      </c>
      <c r="E9" s="212">
        <f t="shared" si="0"/>
        <v>29925.059225644098</v>
      </c>
    </row>
    <row r="10" spans="1:7" x14ac:dyDescent="0.2">
      <c r="A10" s="246">
        <f t="shared" si="1"/>
        <v>7</v>
      </c>
      <c r="B10" s="70">
        <f t="shared" si="2"/>
        <v>2026</v>
      </c>
      <c r="C10" s="46">
        <f>'T5 Avoided Truck Miles'!H11</f>
        <v>221445.43826976634</v>
      </c>
      <c r="D10" s="499">
        <f>+'T3 Inputs'!B$8</f>
        <v>7.4</v>
      </c>
      <c r="E10" s="212">
        <f t="shared" si="0"/>
        <v>29925.059225644098</v>
      </c>
    </row>
    <row r="11" spans="1:7" x14ac:dyDescent="0.2">
      <c r="A11" s="246">
        <f t="shared" si="1"/>
        <v>8</v>
      </c>
      <c r="B11" s="70">
        <f t="shared" si="2"/>
        <v>2027</v>
      </c>
      <c r="C11" s="46">
        <f>'T5 Avoided Truck Miles'!H12</f>
        <v>221445.43826976634</v>
      </c>
      <c r="D11" s="499">
        <f>+'T3 Inputs'!B$8</f>
        <v>7.4</v>
      </c>
      <c r="E11" s="212">
        <f t="shared" si="0"/>
        <v>29925.059225644098</v>
      </c>
    </row>
    <row r="12" spans="1:7" x14ac:dyDescent="0.2">
      <c r="A12" s="246">
        <f t="shared" si="1"/>
        <v>9</v>
      </c>
      <c r="B12" s="70">
        <f t="shared" si="2"/>
        <v>2028</v>
      </c>
      <c r="C12" s="46">
        <f>'T5 Avoided Truck Miles'!H13</f>
        <v>221445.43826976634</v>
      </c>
      <c r="D12" s="499">
        <f>+'T3 Inputs'!B$8</f>
        <v>7.4</v>
      </c>
      <c r="E12" s="212">
        <f t="shared" si="0"/>
        <v>29925.059225644098</v>
      </c>
    </row>
    <row r="13" spans="1:7" x14ac:dyDescent="0.2">
      <c r="A13" s="246">
        <f t="shared" si="1"/>
        <v>10</v>
      </c>
      <c r="B13" s="70">
        <f t="shared" si="2"/>
        <v>2029</v>
      </c>
      <c r="C13" s="46">
        <f>'T5 Avoided Truck Miles'!H14</f>
        <v>221445.43826976634</v>
      </c>
      <c r="D13" s="499">
        <f>+'T3 Inputs'!B$8</f>
        <v>7.4</v>
      </c>
      <c r="E13" s="212">
        <f t="shared" si="0"/>
        <v>29925.059225644098</v>
      </c>
    </row>
    <row r="14" spans="1:7" x14ac:dyDescent="0.2">
      <c r="A14" s="246">
        <f t="shared" si="1"/>
        <v>11</v>
      </c>
      <c r="B14" s="70">
        <f t="shared" si="2"/>
        <v>2030</v>
      </c>
      <c r="C14" s="46">
        <f>'T5 Avoided Truck Miles'!H15</f>
        <v>221445.43826976634</v>
      </c>
      <c r="D14" s="499">
        <f>+'T3 Inputs'!B$8</f>
        <v>7.4</v>
      </c>
      <c r="E14" s="212">
        <f t="shared" si="0"/>
        <v>29925.059225644098</v>
      </c>
    </row>
    <row r="15" spans="1:7" x14ac:dyDescent="0.2">
      <c r="A15" s="246">
        <f t="shared" si="1"/>
        <v>12</v>
      </c>
      <c r="B15" s="70">
        <f t="shared" si="2"/>
        <v>2031</v>
      </c>
      <c r="C15" s="46">
        <f>'T5 Avoided Truck Miles'!H16</f>
        <v>221445.43826976634</v>
      </c>
      <c r="D15" s="499">
        <f>+'T3 Inputs'!B$8</f>
        <v>7.4</v>
      </c>
      <c r="E15" s="212">
        <f t="shared" si="0"/>
        <v>29925.059225644098</v>
      </c>
    </row>
    <row r="16" spans="1:7" x14ac:dyDescent="0.2">
      <c r="A16" s="246">
        <f t="shared" si="1"/>
        <v>13</v>
      </c>
      <c r="B16" s="70">
        <f t="shared" si="2"/>
        <v>2032</v>
      </c>
      <c r="C16" s="46">
        <f>'T5 Avoided Truck Miles'!H17</f>
        <v>221445.43826976634</v>
      </c>
      <c r="D16" s="499">
        <f>+'T3 Inputs'!B$8</f>
        <v>7.4</v>
      </c>
      <c r="E16" s="212">
        <f t="shared" si="0"/>
        <v>29925.059225644098</v>
      </c>
    </row>
    <row r="17" spans="1:7" x14ac:dyDescent="0.2">
      <c r="A17" s="246">
        <f t="shared" si="1"/>
        <v>14</v>
      </c>
      <c r="B17" s="70">
        <f t="shared" si="2"/>
        <v>2033</v>
      </c>
      <c r="C17" s="46">
        <f>'T5 Avoided Truck Miles'!H18</f>
        <v>221445.43826976634</v>
      </c>
      <c r="D17" s="499">
        <f>+'T3 Inputs'!B$8</f>
        <v>7.4</v>
      </c>
      <c r="E17" s="212">
        <f t="shared" si="0"/>
        <v>29925.059225644098</v>
      </c>
    </row>
    <row r="18" spans="1:7" x14ac:dyDescent="0.2">
      <c r="A18" s="246">
        <f t="shared" si="1"/>
        <v>15</v>
      </c>
      <c r="B18" s="70">
        <f t="shared" si="2"/>
        <v>2034</v>
      </c>
      <c r="C18" s="46">
        <f>'T5 Avoided Truck Miles'!H19</f>
        <v>221445.43826976634</v>
      </c>
      <c r="D18" s="499">
        <f>+'T3 Inputs'!B$8</f>
        <v>7.4</v>
      </c>
      <c r="E18" s="212">
        <f t="shared" si="0"/>
        <v>29925.059225644098</v>
      </c>
    </row>
    <row r="19" spans="1:7" x14ac:dyDescent="0.2">
      <c r="A19" s="246">
        <f t="shared" si="1"/>
        <v>16</v>
      </c>
      <c r="B19" s="70">
        <f t="shared" si="2"/>
        <v>2035</v>
      </c>
      <c r="C19" s="46">
        <f>'T5 Avoided Truck Miles'!H20</f>
        <v>221445.43826976634</v>
      </c>
      <c r="D19" s="499">
        <f>+'T3 Inputs'!B$8</f>
        <v>7.4</v>
      </c>
      <c r="E19" s="212">
        <f t="shared" si="0"/>
        <v>29925.059225644098</v>
      </c>
    </row>
    <row r="20" spans="1:7" x14ac:dyDescent="0.2">
      <c r="A20" s="246">
        <f t="shared" si="1"/>
        <v>17</v>
      </c>
      <c r="B20" s="70">
        <f t="shared" si="2"/>
        <v>2036</v>
      </c>
      <c r="C20" s="46">
        <f>'T5 Avoided Truck Miles'!H21</f>
        <v>221445.43826976634</v>
      </c>
      <c r="D20" s="499">
        <f>+'T3 Inputs'!B$8</f>
        <v>7.4</v>
      </c>
      <c r="E20" s="212">
        <f t="shared" si="0"/>
        <v>29925.059225644098</v>
      </c>
    </row>
    <row r="21" spans="1:7" x14ac:dyDescent="0.2">
      <c r="A21" s="246">
        <f t="shared" si="1"/>
        <v>18</v>
      </c>
      <c r="B21" s="70">
        <f t="shared" si="2"/>
        <v>2037</v>
      </c>
      <c r="C21" s="46">
        <f>'T5 Avoided Truck Miles'!H22</f>
        <v>221445.43826976634</v>
      </c>
      <c r="D21" s="499">
        <f>+'T3 Inputs'!B$8</f>
        <v>7.4</v>
      </c>
      <c r="E21" s="212">
        <f t="shared" si="0"/>
        <v>29925.059225644098</v>
      </c>
    </row>
    <row r="22" spans="1:7" x14ac:dyDescent="0.2">
      <c r="A22" s="246">
        <f t="shared" si="1"/>
        <v>19</v>
      </c>
      <c r="B22" s="70">
        <f t="shared" si="2"/>
        <v>2038</v>
      </c>
      <c r="C22" s="46">
        <f>'T5 Avoided Truck Miles'!H23</f>
        <v>221445.43826976634</v>
      </c>
      <c r="D22" s="499">
        <f>+'T3 Inputs'!B$8</f>
        <v>7.4</v>
      </c>
      <c r="E22" s="212">
        <f t="shared" si="0"/>
        <v>29925.059225644098</v>
      </c>
    </row>
    <row r="23" spans="1:7" x14ac:dyDescent="0.2">
      <c r="A23" s="246">
        <f t="shared" si="1"/>
        <v>20</v>
      </c>
      <c r="B23" s="70">
        <f t="shared" si="2"/>
        <v>2039</v>
      </c>
      <c r="C23" s="46">
        <f>'T5 Avoided Truck Miles'!H24</f>
        <v>221445.43826976634</v>
      </c>
      <c r="D23" s="499">
        <f>+'T3 Inputs'!B$8</f>
        <v>7.4</v>
      </c>
      <c r="E23" s="212">
        <f t="shared" si="0"/>
        <v>29925.059225644098</v>
      </c>
      <c r="F23" s="236"/>
      <c r="G23" s="236"/>
    </row>
    <row r="24" spans="1:7" x14ac:dyDescent="0.2">
      <c r="A24" s="246">
        <f t="shared" si="1"/>
        <v>21</v>
      </c>
      <c r="B24" s="70">
        <f t="shared" si="2"/>
        <v>2040</v>
      </c>
      <c r="C24" s="46">
        <f>'T5 Avoided Truck Miles'!H25</f>
        <v>221445.43826976634</v>
      </c>
      <c r="D24" s="499">
        <f>+'T3 Inputs'!B$8</f>
        <v>7.4</v>
      </c>
      <c r="E24" s="212">
        <f t="shared" si="0"/>
        <v>29925.059225644098</v>
      </c>
      <c r="F24" s="236"/>
      <c r="G24" s="236"/>
    </row>
    <row r="25" spans="1:7" x14ac:dyDescent="0.2">
      <c r="A25" s="246">
        <f t="shared" si="1"/>
        <v>22</v>
      </c>
      <c r="B25" s="70">
        <f t="shared" si="2"/>
        <v>2041</v>
      </c>
      <c r="C25" s="46">
        <f>'T5 Avoided Truck Miles'!H26</f>
        <v>221445.43826976634</v>
      </c>
      <c r="D25" s="499">
        <f>+'T3 Inputs'!B$8</f>
        <v>7.4</v>
      </c>
      <c r="E25" s="212">
        <f t="shared" si="0"/>
        <v>29925.059225644098</v>
      </c>
      <c r="F25" s="236"/>
      <c r="G25" s="236"/>
    </row>
    <row r="26" spans="1:7" x14ac:dyDescent="0.2">
      <c r="A26" s="246">
        <f t="shared" si="1"/>
        <v>23</v>
      </c>
      <c r="B26" s="70">
        <f t="shared" si="2"/>
        <v>2042</v>
      </c>
      <c r="C26" s="46">
        <f>'T5 Avoided Truck Miles'!H27</f>
        <v>221445.43826976634</v>
      </c>
      <c r="D26" s="499">
        <f>+'T3 Inputs'!B$8</f>
        <v>7.4</v>
      </c>
      <c r="E26" s="212">
        <f t="shared" si="0"/>
        <v>29925.059225644098</v>
      </c>
      <c r="F26" s="236"/>
      <c r="G26" s="236"/>
    </row>
    <row r="27" spans="1:7" x14ac:dyDescent="0.2">
      <c r="A27" s="246">
        <f t="shared" si="1"/>
        <v>24</v>
      </c>
      <c r="B27" s="70">
        <f t="shared" si="2"/>
        <v>2043</v>
      </c>
      <c r="C27" s="46">
        <f>'T5 Avoided Truck Miles'!H28</f>
        <v>221445.43826976634</v>
      </c>
      <c r="D27" s="499">
        <f>+'T3 Inputs'!B$8</f>
        <v>7.4</v>
      </c>
      <c r="E27" s="212">
        <f t="shared" si="0"/>
        <v>29925.059225644098</v>
      </c>
      <c r="F27" s="236"/>
      <c r="G27" s="236"/>
    </row>
    <row r="28" spans="1:7" x14ac:dyDescent="0.2">
      <c r="A28" s="246">
        <f t="shared" si="1"/>
        <v>25</v>
      </c>
      <c r="B28" s="70">
        <f t="shared" si="2"/>
        <v>2044</v>
      </c>
      <c r="C28" s="46">
        <f>'T5 Avoided Truck Miles'!H29</f>
        <v>221445.43826976634</v>
      </c>
      <c r="D28" s="499">
        <f>+'T3 Inputs'!B$8</f>
        <v>7.4</v>
      </c>
      <c r="E28" s="212">
        <f t="shared" si="0"/>
        <v>29925.059225644098</v>
      </c>
      <c r="F28" s="236"/>
      <c r="G28" s="236"/>
    </row>
    <row r="29" spans="1:7" x14ac:dyDescent="0.2">
      <c r="A29" s="246">
        <f t="shared" si="1"/>
        <v>26</v>
      </c>
      <c r="B29" s="70">
        <f t="shared" si="2"/>
        <v>2045</v>
      </c>
      <c r="C29" s="46">
        <f>'T5 Avoided Truck Miles'!H30</f>
        <v>221445.43826976634</v>
      </c>
      <c r="D29" s="499">
        <f>+'T3 Inputs'!B$8</f>
        <v>7.4</v>
      </c>
      <c r="E29" s="212">
        <f t="shared" si="0"/>
        <v>29925.059225644098</v>
      </c>
      <c r="F29" s="236"/>
      <c r="G29" s="236"/>
    </row>
    <row r="30" spans="1:7" x14ac:dyDescent="0.2">
      <c r="A30" s="246">
        <f t="shared" si="1"/>
        <v>27</v>
      </c>
      <c r="B30" s="70">
        <f t="shared" si="2"/>
        <v>2046</v>
      </c>
      <c r="C30" s="46">
        <f>'T5 Avoided Truck Miles'!H31</f>
        <v>221445.43826976634</v>
      </c>
      <c r="D30" s="499">
        <f>+'T3 Inputs'!B$8</f>
        <v>7.4</v>
      </c>
      <c r="E30" s="212">
        <f t="shared" si="0"/>
        <v>29925.059225644098</v>
      </c>
      <c r="F30" s="236"/>
      <c r="G30" s="236"/>
    </row>
    <row r="31" spans="1:7" x14ac:dyDescent="0.2">
      <c r="A31" s="246">
        <f t="shared" si="1"/>
        <v>28</v>
      </c>
      <c r="B31" s="70">
        <f t="shared" si="2"/>
        <v>2047</v>
      </c>
      <c r="C31" s="46">
        <f>'T5 Avoided Truck Miles'!H32</f>
        <v>221445.43826976634</v>
      </c>
      <c r="D31" s="499">
        <f>+'T3 Inputs'!B$8</f>
        <v>7.4</v>
      </c>
      <c r="E31" s="212">
        <f t="shared" si="0"/>
        <v>29925.059225644098</v>
      </c>
      <c r="F31" s="236"/>
      <c r="G31" s="236"/>
    </row>
    <row r="32" spans="1:7" x14ac:dyDescent="0.2">
      <c r="A32" s="246">
        <f t="shared" si="1"/>
        <v>29</v>
      </c>
      <c r="B32" s="70">
        <f t="shared" si="2"/>
        <v>2048</v>
      </c>
      <c r="C32" s="46">
        <f>'T5 Avoided Truck Miles'!H33</f>
        <v>221445.43826976634</v>
      </c>
      <c r="D32" s="499">
        <f>+'T3 Inputs'!B$8</f>
        <v>7.4</v>
      </c>
      <c r="E32" s="212">
        <f t="shared" si="0"/>
        <v>29925.059225644098</v>
      </c>
      <c r="F32" s="236"/>
      <c r="G32" s="236"/>
    </row>
    <row r="33" spans="1:7" x14ac:dyDescent="0.2">
      <c r="A33" s="246">
        <f t="shared" si="1"/>
        <v>30</v>
      </c>
      <c r="B33" s="70">
        <f t="shared" si="2"/>
        <v>2049</v>
      </c>
      <c r="C33" s="46">
        <f>'T5 Avoided Truck Miles'!H34</f>
        <v>221445.43826976634</v>
      </c>
      <c r="D33" s="499">
        <f>+'T3 Inputs'!B$8</f>
        <v>7.4</v>
      </c>
      <c r="E33" s="212">
        <f t="shared" si="0"/>
        <v>29925.059225644098</v>
      </c>
      <c r="F33" s="236"/>
      <c r="G33" s="236"/>
    </row>
    <row r="34" spans="1:7" ht="12.75" thickBot="1" x14ac:dyDescent="0.25">
      <c r="A34" s="249"/>
      <c r="B34" s="254" t="s">
        <v>0</v>
      </c>
      <c r="C34" s="213">
        <f>SUM(C5:C33)</f>
        <v>6421917.7098232219</v>
      </c>
      <c r="D34" s="213"/>
      <c r="E34" s="214">
        <f>SUM(E5:E33)</f>
        <v>867826.71754367882</v>
      </c>
      <c r="F34" s="236"/>
      <c r="G34" s="236"/>
    </row>
    <row r="35" spans="1:7" x14ac:dyDescent="0.2">
      <c r="F35" s="236"/>
      <c r="G35" s="236"/>
    </row>
    <row r="36" spans="1:7" ht="12.75" thickBot="1" x14ac:dyDescent="0.25">
      <c r="C36" s="259"/>
      <c r="F36" s="236"/>
      <c r="G36" s="236"/>
    </row>
    <row r="37" spans="1:7" ht="36" x14ac:dyDescent="0.2">
      <c r="A37" s="240" t="s">
        <v>130</v>
      </c>
      <c r="B37" s="101" t="s">
        <v>2</v>
      </c>
      <c r="C37" s="101" t="s">
        <v>154</v>
      </c>
      <c r="D37" s="101" t="s">
        <v>20</v>
      </c>
      <c r="E37" s="156" t="s">
        <v>22</v>
      </c>
    </row>
    <row r="38" spans="1:7" x14ac:dyDescent="0.2">
      <c r="A38" s="246">
        <f t="shared" ref="A38:B57" si="3">A2</f>
        <v>-1</v>
      </c>
      <c r="B38" s="71">
        <f t="shared" si="3"/>
        <v>2018</v>
      </c>
      <c r="C38" s="46">
        <f>ROUND(C2,-3)</f>
        <v>0</v>
      </c>
      <c r="D38" s="499">
        <f t="shared" ref="D38:D69" si="4">D2</f>
        <v>7.4</v>
      </c>
      <c r="E38" s="212">
        <f t="shared" ref="E38:E70" si="5">ROUND(E2,-3)</f>
        <v>0</v>
      </c>
    </row>
    <row r="39" spans="1:7" x14ac:dyDescent="0.2">
      <c r="A39" s="246">
        <f t="shared" si="3"/>
        <v>0</v>
      </c>
      <c r="B39" s="70">
        <f t="shared" si="3"/>
        <v>2019</v>
      </c>
      <c r="C39" s="46">
        <f t="shared" ref="C39:C70" si="6">ROUND(C3,-3)</f>
        <v>0</v>
      </c>
      <c r="D39" s="499">
        <f t="shared" si="4"/>
        <v>7.4</v>
      </c>
      <c r="E39" s="212">
        <f t="shared" si="5"/>
        <v>0</v>
      </c>
    </row>
    <row r="40" spans="1:7" x14ac:dyDescent="0.2">
      <c r="A40" s="246">
        <f t="shared" si="3"/>
        <v>1</v>
      </c>
      <c r="B40" s="70">
        <f t="shared" si="3"/>
        <v>2020</v>
      </c>
      <c r="C40" s="46">
        <f t="shared" si="6"/>
        <v>204000</v>
      </c>
      <c r="D40" s="499">
        <f t="shared" si="4"/>
        <v>7.4</v>
      </c>
      <c r="E40" s="212">
        <f t="shared" si="5"/>
        <v>28000</v>
      </c>
    </row>
    <row r="41" spans="1:7" x14ac:dyDescent="0.2">
      <c r="A41" s="246">
        <f t="shared" si="3"/>
        <v>2</v>
      </c>
      <c r="B41" s="70">
        <f t="shared" si="3"/>
        <v>2021</v>
      </c>
      <c r="C41" s="46">
        <f t="shared" si="6"/>
        <v>221000</v>
      </c>
      <c r="D41" s="499">
        <f t="shared" si="4"/>
        <v>7.4</v>
      </c>
      <c r="E41" s="212">
        <f t="shared" si="5"/>
        <v>30000</v>
      </c>
    </row>
    <row r="42" spans="1:7" x14ac:dyDescent="0.2">
      <c r="A42" s="246">
        <f t="shared" si="3"/>
        <v>3</v>
      </c>
      <c r="B42" s="70">
        <f t="shared" si="3"/>
        <v>2022</v>
      </c>
      <c r="C42" s="46">
        <f t="shared" si="6"/>
        <v>221000</v>
      </c>
      <c r="D42" s="499">
        <f t="shared" si="4"/>
        <v>7.4</v>
      </c>
      <c r="E42" s="212">
        <f t="shared" si="5"/>
        <v>30000</v>
      </c>
    </row>
    <row r="43" spans="1:7" x14ac:dyDescent="0.2">
      <c r="A43" s="246">
        <f t="shared" si="3"/>
        <v>4</v>
      </c>
      <c r="B43" s="70">
        <f t="shared" si="3"/>
        <v>2023</v>
      </c>
      <c r="C43" s="46">
        <f t="shared" si="6"/>
        <v>221000</v>
      </c>
      <c r="D43" s="499">
        <f t="shared" si="4"/>
        <v>7.4</v>
      </c>
      <c r="E43" s="212">
        <f t="shared" si="5"/>
        <v>30000</v>
      </c>
    </row>
    <row r="44" spans="1:7" x14ac:dyDescent="0.2">
      <c r="A44" s="246">
        <f t="shared" si="3"/>
        <v>5</v>
      </c>
      <c r="B44" s="70">
        <f t="shared" si="3"/>
        <v>2024</v>
      </c>
      <c r="C44" s="46">
        <f t="shared" si="6"/>
        <v>221000</v>
      </c>
      <c r="D44" s="499">
        <f t="shared" si="4"/>
        <v>7.4</v>
      </c>
      <c r="E44" s="212">
        <f t="shared" si="5"/>
        <v>30000</v>
      </c>
    </row>
    <row r="45" spans="1:7" x14ac:dyDescent="0.2">
      <c r="A45" s="246">
        <f t="shared" si="3"/>
        <v>6</v>
      </c>
      <c r="B45" s="70">
        <f t="shared" si="3"/>
        <v>2025</v>
      </c>
      <c r="C45" s="46">
        <f t="shared" si="6"/>
        <v>221000</v>
      </c>
      <c r="D45" s="499">
        <f t="shared" si="4"/>
        <v>7.4</v>
      </c>
      <c r="E45" s="212">
        <f t="shared" si="5"/>
        <v>30000</v>
      </c>
    </row>
    <row r="46" spans="1:7" x14ac:dyDescent="0.2">
      <c r="A46" s="246">
        <f t="shared" si="3"/>
        <v>7</v>
      </c>
      <c r="B46" s="70">
        <f t="shared" si="3"/>
        <v>2026</v>
      </c>
      <c r="C46" s="46">
        <f t="shared" si="6"/>
        <v>221000</v>
      </c>
      <c r="D46" s="499">
        <f t="shared" si="4"/>
        <v>7.4</v>
      </c>
      <c r="E46" s="212">
        <f t="shared" si="5"/>
        <v>30000</v>
      </c>
    </row>
    <row r="47" spans="1:7" x14ac:dyDescent="0.2">
      <c r="A47" s="246">
        <f t="shared" si="3"/>
        <v>8</v>
      </c>
      <c r="B47" s="70">
        <f t="shared" si="3"/>
        <v>2027</v>
      </c>
      <c r="C47" s="46">
        <f t="shared" si="6"/>
        <v>221000</v>
      </c>
      <c r="D47" s="499">
        <f t="shared" si="4"/>
        <v>7.4</v>
      </c>
      <c r="E47" s="212">
        <f t="shared" si="5"/>
        <v>30000</v>
      </c>
    </row>
    <row r="48" spans="1:7" x14ac:dyDescent="0.2">
      <c r="A48" s="246">
        <f t="shared" si="3"/>
        <v>9</v>
      </c>
      <c r="B48" s="70">
        <f t="shared" si="3"/>
        <v>2028</v>
      </c>
      <c r="C48" s="46">
        <f t="shared" si="6"/>
        <v>221000</v>
      </c>
      <c r="D48" s="499">
        <f t="shared" si="4"/>
        <v>7.4</v>
      </c>
      <c r="E48" s="212">
        <f t="shared" si="5"/>
        <v>30000</v>
      </c>
    </row>
    <row r="49" spans="1:5" x14ac:dyDescent="0.2">
      <c r="A49" s="246">
        <f t="shared" si="3"/>
        <v>10</v>
      </c>
      <c r="B49" s="70">
        <f t="shared" si="3"/>
        <v>2029</v>
      </c>
      <c r="C49" s="46">
        <f t="shared" si="6"/>
        <v>221000</v>
      </c>
      <c r="D49" s="499">
        <f t="shared" si="4"/>
        <v>7.4</v>
      </c>
      <c r="E49" s="212">
        <f t="shared" si="5"/>
        <v>30000</v>
      </c>
    </row>
    <row r="50" spans="1:5" x14ac:dyDescent="0.2">
      <c r="A50" s="246">
        <f t="shared" si="3"/>
        <v>11</v>
      </c>
      <c r="B50" s="70">
        <f t="shared" si="3"/>
        <v>2030</v>
      </c>
      <c r="C50" s="46">
        <f t="shared" si="6"/>
        <v>221000</v>
      </c>
      <c r="D50" s="499">
        <f t="shared" si="4"/>
        <v>7.4</v>
      </c>
      <c r="E50" s="212">
        <f t="shared" si="5"/>
        <v>30000</v>
      </c>
    </row>
    <row r="51" spans="1:5" x14ac:dyDescent="0.2">
      <c r="A51" s="246">
        <f t="shared" si="3"/>
        <v>12</v>
      </c>
      <c r="B51" s="70">
        <f t="shared" si="3"/>
        <v>2031</v>
      </c>
      <c r="C51" s="46">
        <f t="shared" si="6"/>
        <v>221000</v>
      </c>
      <c r="D51" s="499">
        <f t="shared" si="4"/>
        <v>7.4</v>
      </c>
      <c r="E51" s="212">
        <f t="shared" si="5"/>
        <v>30000</v>
      </c>
    </row>
    <row r="52" spans="1:5" x14ac:dyDescent="0.2">
      <c r="A52" s="246">
        <f t="shared" si="3"/>
        <v>13</v>
      </c>
      <c r="B52" s="70">
        <f t="shared" si="3"/>
        <v>2032</v>
      </c>
      <c r="C52" s="46">
        <f t="shared" si="6"/>
        <v>221000</v>
      </c>
      <c r="D52" s="499">
        <f t="shared" si="4"/>
        <v>7.4</v>
      </c>
      <c r="E52" s="212">
        <f t="shared" si="5"/>
        <v>30000</v>
      </c>
    </row>
    <row r="53" spans="1:5" x14ac:dyDescent="0.2">
      <c r="A53" s="246">
        <f t="shared" si="3"/>
        <v>14</v>
      </c>
      <c r="B53" s="70">
        <f t="shared" si="3"/>
        <v>2033</v>
      </c>
      <c r="C53" s="46">
        <f t="shared" si="6"/>
        <v>221000</v>
      </c>
      <c r="D53" s="499">
        <f t="shared" si="4"/>
        <v>7.4</v>
      </c>
      <c r="E53" s="212">
        <f t="shared" si="5"/>
        <v>30000</v>
      </c>
    </row>
    <row r="54" spans="1:5" x14ac:dyDescent="0.2">
      <c r="A54" s="246">
        <f t="shared" si="3"/>
        <v>15</v>
      </c>
      <c r="B54" s="70">
        <f t="shared" si="3"/>
        <v>2034</v>
      </c>
      <c r="C54" s="46">
        <f t="shared" si="6"/>
        <v>221000</v>
      </c>
      <c r="D54" s="499">
        <f t="shared" si="4"/>
        <v>7.4</v>
      </c>
      <c r="E54" s="212">
        <f t="shared" si="5"/>
        <v>30000</v>
      </c>
    </row>
    <row r="55" spans="1:5" x14ac:dyDescent="0.2">
      <c r="A55" s="246">
        <f t="shared" si="3"/>
        <v>16</v>
      </c>
      <c r="B55" s="70">
        <f t="shared" si="3"/>
        <v>2035</v>
      </c>
      <c r="C55" s="46">
        <f t="shared" si="6"/>
        <v>221000</v>
      </c>
      <c r="D55" s="499">
        <f t="shared" si="4"/>
        <v>7.4</v>
      </c>
      <c r="E55" s="212">
        <f t="shared" si="5"/>
        <v>30000</v>
      </c>
    </row>
    <row r="56" spans="1:5" x14ac:dyDescent="0.2">
      <c r="A56" s="246">
        <f t="shared" si="3"/>
        <v>17</v>
      </c>
      <c r="B56" s="70">
        <f t="shared" si="3"/>
        <v>2036</v>
      </c>
      <c r="C56" s="46">
        <f t="shared" si="6"/>
        <v>221000</v>
      </c>
      <c r="D56" s="499">
        <f t="shared" si="4"/>
        <v>7.4</v>
      </c>
      <c r="E56" s="212">
        <f t="shared" si="5"/>
        <v>30000</v>
      </c>
    </row>
    <row r="57" spans="1:5" x14ac:dyDescent="0.2">
      <c r="A57" s="246">
        <f t="shared" si="3"/>
        <v>18</v>
      </c>
      <c r="B57" s="70">
        <f t="shared" si="3"/>
        <v>2037</v>
      </c>
      <c r="C57" s="46">
        <f t="shared" si="6"/>
        <v>221000</v>
      </c>
      <c r="D57" s="499">
        <f t="shared" si="4"/>
        <v>7.4</v>
      </c>
      <c r="E57" s="212">
        <f t="shared" si="5"/>
        <v>30000</v>
      </c>
    </row>
    <row r="58" spans="1:5" x14ac:dyDescent="0.2">
      <c r="A58" s="246">
        <f t="shared" ref="A58:B70" si="7">A22</f>
        <v>19</v>
      </c>
      <c r="B58" s="70">
        <f t="shared" si="7"/>
        <v>2038</v>
      </c>
      <c r="C58" s="46">
        <f t="shared" si="6"/>
        <v>221000</v>
      </c>
      <c r="D58" s="499">
        <f t="shared" si="4"/>
        <v>7.4</v>
      </c>
      <c r="E58" s="212">
        <f t="shared" si="5"/>
        <v>30000</v>
      </c>
    </row>
    <row r="59" spans="1:5" x14ac:dyDescent="0.2">
      <c r="A59" s="246">
        <f t="shared" si="7"/>
        <v>20</v>
      </c>
      <c r="B59" s="70">
        <f t="shared" si="7"/>
        <v>2039</v>
      </c>
      <c r="C59" s="46">
        <f t="shared" si="6"/>
        <v>221000</v>
      </c>
      <c r="D59" s="499">
        <f t="shared" si="4"/>
        <v>7.4</v>
      </c>
      <c r="E59" s="212">
        <f t="shared" si="5"/>
        <v>30000</v>
      </c>
    </row>
    <row r="60" spans="1:5" x14ac:dyDescent="0.2">
      <c r="A60" s="246">
        <f t="shared" si="7"/>
        <v>21</v>
      </c>
      <c r="B60" s="70">
        <f t="shared" si="7"/>
        <v>2040</v>
      </c>
      <c r="C60" s="46">
        <f t="shared" si="6"/>
        <v>221000</v>
      </c>
      <c r="D60" s="499">
        <f t="shared" si="4"/>
        <v>7.4</v>
      </c>
      <c r="E60" s="212">
        <f t="shared" si="5"/>
        <v>30000</v>
      </c>
    </row>
    <row r="61" spans="1:5" x14ac:dyDescent="0.2">
      <c r="A61" s="246">
        <f t="shared" si="7"/>
        <v>22</v>
      </c>
      <c r="B61" s="70">
        <f t="shared" si="7"/>
        <v>2041</v>
      </c>
      <c r="C61" s="46">
        <f t="shared" si="6"/>
        <v>221000</v>
      </c>
      <c r="D61" s="499">
        <f t="shared" si="4"/>
        <v>7.4</v>
      </c>
      <c r="E61" s="212">
        <f t="shared" si="5"/>
        <v>30000</v>
      </c>
    </row>
    <row r="62" spans="1:5" x14ac:dyDescent="0.2">
      <c r="A62" s="246">
        <f t="shared" si="7"/>
        <v>23</v>
      </c>
      <c r="B62" s="70">
        <f t="shared" si="7"/>
        <v>2042</v>
      </c>
      <c r="C62" s="46">
        <f t="shared" si="6"/>
        <v>221000</v>
      </c>
      <c r="D62" s="499">
        <f t="shared" si="4"/>
        <v>7.4</v>
      </c>
      <c r="E62" s="212">
        <f t="shared" si="5"/>
        <v>30000</v>
      </c>
    </row>
    <row r="63" spans="1:5" x14ac:dyDescent="0.2">
      <c r="A63" s="246">
        <f t="shared" si="7"/>
        <v>24</v>
      </c>
      <c r="B63" s="70">
        <f t="shared" si="7"/>
        <v>2043</v>
      </c>
      <c r="C63" s="46">
        <f t="shared" si="6"/>
        <v>221000</v>
      </c>
      <c r="D63" s="499">
        <f t="shared" si="4"/>
        <v>7.4</v>
      </c>
      <c r="E63" s="212">
        <f t="shared" si="5"/>
        <v>30000</v>
      </c>
    </row>
    <row r="64" spans="1:5" x14ac:dyDescent="0.2">
      <c r="A64" s="246">
        <f t="shared" si="7"/>
        <v>25</v>
      </c>
      <c r="B64" s="70">
        <f t="shared" si="7"/>
        <v>2044</v>
      </c>
      <c r="C64" s="46">
        <f t="shared" si="6"/>
        <v>221000</v>
      </c>
      <c r="D64" s="499">
        <f t="shared" si="4"/>
        <v>7.4</v>
      </c>
      <c r="E64" s="212">
        <f t="shared" si="5"/>
        <v>30000</v>
      </c>
    </row>
    <row r="65" spans="1:5" x14ac:dyDescent="0.2">
      <c r="A65" s="246">
        <f t="shared" si="7"/>
        <v>26</v>
      </c>
      <c r="B65" s="70">
        <f t="shared" si="7"/>
        <v>2045</v>
      </c>
      <c r="C65" s="46">
        <f t="shared" si="6"/>
        <v>221000</v>
      </c>
      <c r="D65" s="499">
        <f t="shared" si="4"/>
        <v>7.4</v>
      </c>
      <c r="E65" s="212">
        <f t="shared" si="5"/>
        <v>30000</v>
      </c>
    </row>
    <row r="66" spans="1:5" x14ac:dyDescent="0.2">
      <c r="A66" s="246">
        <f t="shared" si="7"/>
        <v>27</v>
      </c>
      <c r="B66" s="70">
        <f t="shared" si="7"/>
        <v>2046</v>
      </c>
      <c r="C66" s="46">
        <f t="shared" si="6"/>
        <v>221000</v>
      </c>
      <c r="D66" s="499">
        <f t="shared" si="4"/>
        <v>7.4</v>
      </c>
      <c r="E66" s="212">
        <f t="shared" si="5"/>
        <v>30000</v>
      </c>
    </row>
    <row r="67" spans="1:5" x14ac:dyDescent="0.2">
      <c r="A67" s="246">
        <f t="shared" si="7"/>
        <v>28</v>
      </c>
      <c r="B67" s="70">
        <f t="shared" si="7"/>
        <v>2047</v>
      </c>
      <c r="C67" s="46">
        <f t="shared" si="6"/>
        <v>221000</v>
      </c>
      <c r="D67" s="499">
        <f t="shared" si="4"/>
        <v>7.4</v>
      </c>
      <c r="E67" s="212">
        <f t="shared" si="5"/>
        <v>30000</v>
      </c>
    </row>
    <row r="68" spans="1:5" x14ac:dyDescent="0.2">
      <c r="A68" s="246">
        <f t="shared" si="7"/>
        <v>29</v>
      </c>
      <c r="B68" s="70">
        <f t="shared" si="7"/>
        <v>2048</v>
      </c>
      <c r="C68" s="46">
        <f t="shared" si="6"/>
        <v>221000</v>
      </c>
      <c r="D68" s="499">
        <f t="shared" si="4"/>
        <v>7.4</v>
      </c>
      <c r="E68" s="212">
        <f t="shared" si="5"/>
        <v>30000</v>
      </c>
    </row>
    <row r="69" spans="1:5" x14ac:dyDescent="0.2">
      <c r="A69" s="246">
        <f t="shared" si="7"/>
        <v>30</v>
      </c>
      <c r="B69" s="70">
        <f t="shared" si="7"/>
        <v>2049</v>
      </c>
      <c r="C69" s="46">
        <f t="shared" si="6"/>
        <v>221000</v>
      </c>
      <c r="D69" s="499">
        <f t="shared" si="4"/>
        <v>7.4</v>
      </c>
      <c r="E69" s="212">
        <f t="shared" si="5"/>
        <v>30000</v>
      </c>
    </row>
    <row r="70" spans="1:5" ht="12.75" thickBot="1" x14ac:dyDescent="0.25">
      <c r="A70" s="249">
        <f t="shared" si="7"/>
        <v>0</v>
      </c>
      <c r="B70" s="254" t="str">
        <f t="shared" si="7"/>
        <v>Total</v>
      </c>
      <c r="C70" s="500">
        <f t="shared" si="6"/>
        <v>6422000</v>
      </c>
      <c r="D70" s="502"/>
      <c r="E70" s="501">
        <f t="shared" si="5"/>
        <v>868000</v>
      </c>
    </row>
    <row r="71" spans="1:5" x14ac:dyDescent="0.2">
      <c r="D71" s="503"/>
    </row>
  </sheetData>
  <pageMargins left="0.75" right="0.75" top="1" bottom="1" header="0.5" footer="0.5"/>
  <pageSetup orientation="portrait" horizontalDpi="90" verticalDpi="90" r:id="rId1"/>
  <headerFooter alignWithMargins="0"/>
  <rowBreaks count="1" manualBreakCount="1">
    <brk id="36"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workbookViewId="0"/>
  </sheetViews>
  <sheetFormatPr defaultRowHeight="12.75" x14ac:dyDescent="0.2"/>
  <cols>
    <col min="1" max="1" width="9.140625" style="234"/>
    <col min="2" max="2" width="9.140625" style="234" customWidth="1"/>
    <col min="3" max="8" width="14.28515625" style="1" customWidth="1"/>
    <col min="9" max="16384" width="9.140625" style="1"/>
  </cols>
  <sheetData>
    <row r="1" spans="1:8" s="219" customFormat="1" ht="37.5" customHeight="1" x14ac:dyDescent="0.2">
      <c r="A1" s="218" t="s">
        <v>130</v>
      </c>
      <c r="B1" s="162" t="s">
        <v>2</v>
      </c>
      <c r="C1" s="176" t="s">
        <v>266</v>
      </c>
      <c r="D1" s="176" t="s">
        <v>267</v>
      </c>
      <c r="E1" s="176" t="s">
        <v>268</v>
      </c>
      <c r="F1" s="163" t="s">
        <v>35</v>
      </c>
      <c r="G1" s="163" t="s">
        <v>36</v>
      </c>
      <c r="H1" s="164" t="s">
        <v>37</v>
      </c>
    </row>
    <row r="2" spans="1:8" x14ac:dyDescent="0.2">
      <c r="A2" s="226">
        <f>A3-1</f>
        <v>-3</v>
      </c>
      <c r="B2" s="260">
        <v>2016</v>
      </c>
      <c r="C2" s="35">
        <f>ROUND(380/24,0)</f>
        <v>16</v>
      </c>
      <c r="D2" s="35">
        <f>C2</f>
        <v>16</v>
      </c>
      <c r="E2" s="7">
        <f>(C2-D2)*24</f>
        <v>0</v>
      </c>
      <c r="F2" s="36">
        <f>(355-C2)/355</f>
        <v>0.95492957746478868</v>
      </c>
      <c r="G2" s="36">
        <f>(355-D2)/355</f>
        <v>0.95492957746478868</v>
      </c>
      <c r="H2" s="261">
        <f>G2-F2</f>
        <v>0</v>
      </c>
    </row>
    <row r="3" spans="1:8" x14ac:dyDescent="0.2">
      <c r="A3" s="226">
        <f>A4-1</f>
        <v>-2</v>
      </c>
      <c r="B3" s="260">
        <v>2017</v>
      </c>
      <c r="C3" s="35">
        <f>ROUND(380/24,0)</f>
        <v>16</v>
      </c>
      <c r="D3" s="35">
        <f>C3</f>
        <v>16</v>
      </c>
      <c r="E3" s="7">
        <f t="shared" ref="E3:E34" si="0">(C3-D3)*24</f>
        <v>0</v>
      </c>
      <c r="F3" s="36">
        <f t="shared" ref="F3:F34" si="1">(355-C3)/355</f>
        <v>0.95492957746478868</v>
      </c>
      <c r="G3" s="36">
        <f t="shared" ref="G3:G34" si="2">(355-D3)/355</f>
        <v>0.95492957746478868</v>
      </c>
      <c r="H3" s="261">
        <f t="shared" ref="H3:H34" si="3">G3-F3</f>
        <v>0</v>
      </c>
    </row>
    <row r="4" spans="1:8" x14ac:dyDescent="0.2">
      <c r="A4" s="226">
        <f>A5-1</f>
        <v>-1</v>
      </c>
      <c r="B4" s="260">
        <v>2018</v>
      </c>
      <c r="C4" s="35">
        <f>ROUND(380/24,0)</f>
        <v>16</v>
      </c>
      <c r="D4" s="35">
        <f>C4</f>
        <v>16</v>
      </c>
      <c r="E4" s="7">
        <f t="shared" si="0"/>
        <v>0</v>
      </c>
      <c r="F4" s="36">
        <f t="shared" si="1"/>
        <v>0.95492957746478868</v>
      </c>
      <c r="G4" s="36">
        <f t="shared" si="2"/>
        <v>0.95492957746478868</v>
      </c>
      <c r="H4" s="261">
        <f t="shared" si="3"/>
        <v>0</v>
      </c>
    </row>
    <row r="5" spans="1:8" x14ac:dyDescent="0.2">
      <c r="A5" s="226">
        <v>0</v>
      </c>
      <c r="B5" s="260">
        <v>2019</v>
      </c>
      <c r="C5" s="35">
        <f t="shared" ref="C5:C35" si="4">C4*1.02</f>
        <v>16.32</v>
      </c>
      <c r="D5" s="35">
        <f>C5</f>
        <v>16.32</v>
      </c>
      <c r="E5" s="35">
        <f t="shared" si="0"/>
        <v>0</v>
      </c>
      <c r="F5" s="36">
        <f t="shared" si="1"/>
        <v>0.95402816901408449</v>
      </c>
      <c r="G5" s="36">
        <f t="shared" si="2"/>
        <v>0.95402816901408449</v>
      </c>
      <c r="H5" s="261">
        <f t="shared" si="3"/>
        <v>0</v>
      </c>
    </row>
    <row r="6" spans="1:8" x14ac:dyDescent="0.2">
      <c r="A6" s="226">
        <f>1+A5</f>
        <v>1</v>
      </c>
      <c r="B6" s="260">
        <v>2020</v>
      </c>
      <c r="C6" s="35">
        <f t="shared" si="4"/>
        <v>16.6464</v>
      </c>
      <c r="D6" s="35">
        <v>0</v>
      </c>
      <c r="E6" s="35">
        <f t="shared" si="0"/>
        <v>399.5136</v>
      </c>
      <c r="F6" s="36">
        <f t="shared" si="1"/>
        <v>0.95310873239436633</v>
      </c>
      <c r="G6" s="36">
        <f t="shared" si="2"/>
        <v>1</v>
      </c>
      <c r="H6" s="261">
        <f t="shared" si="3"/>
        <v>4.6891267605633669E-2</v>
      </c>
    </row>
    <row r="7" spans="1:8" x14ac:dyDescent="0.2">
      <c r="A7" s="226">
        <f t="shared" ref="A7:A35" si="5">1+A6</f>
        <v>2</v>
      </c>
      <c r="B7" s="260">
        <v>2021</v>
      </c>
      <c r="C7" s="35">
        <f t="shared" si="4"/>
        <v>16.979327999999999</v>
      </c>
      <c r="D7" s="35">
        <v>0</v>
      </c>
      <c r="E7" s="35">
        <f t="shared" si="0"/>
        <v>407.503872</v>
      </c>
      <c r="F7" s="36">
        <f t="shared" si="1"/>
        <v>0.95217090704225349</v>
      </c>
      <c r="G7" s="36">
        <f t="shared" si="2"/>
        <v>1</v>
      </c>
      <c r="H7" s="261">
        <f t="shared" si="3"/>
        <v>4.7829092957746511E-2</v>
      </c>
    </row>
    <row r="8" spans="1:8" x14ac:dyDescent="0.2">
      <c r="A8" s="226">
        <f t="shared" si="5"/>
        <v>3</v>
      </c>
      <c r="B8" s="260">
        <v>2022</v>
      </c>
      <c r="C8" s="35">
        <f t="shared" si="4"/>
        <v>17.31891456</v>
      </c>
      <c r="D8" s="35">
        <v>0</v>
      </c>
      <c r="E8" s="35">
        <f t="shared" si="0"/>
        <v>415.65394944000002</v>
      </c>
      <c r="F8" s="36">
        <f t="shared" si="1"/>
        <v>0.95121432518309856</v>
      </c>
      <c r="G8" s="36">
        <f t="shared" si="2"/>
        <v>1</v>
      </c>
      <c r="H8" s="261">
        <f t="shared" si="3"/>
        <v>4.8785674816901436E-2</v>
      </c>
    </row>
    <row r="9" spans="1:8" x14ac:dyDescent="0.2">
      <c r="A9" s="226">
        <f t="shared" si="5"/>
        <v>4</v>
      </c>
      <c r="B9" s="260">
        <v>2023</v>
      </c>
      <c r="C9" s="35">
        <f t="shared" si="4"/>
        <v>17.6652928512</v>
      </c>
      <c r="D9" s="35">
        <v>0</v>
      </c>
      <c r="E9" s="35">
        <f t="shared" si="0"/>
        <v>423.96702842880001</v>
      </c>
      <c r="F9" s="36">
        <f t="shared" si="1"/>
        <v>0.9502386116867606</v>
      </c>
      <c r="G9" s="36">
        <f t="shared" si="2"/>
        <v>1</v>
      </c>
      <c r="H9" s="261">
        <f t="shared" si="3"/>
        <v>4.9761388313239396E-2</v>
      </c>
    </row>
    <row r="10" spans="1:8" x14ac:dyDescent="0.2">
      <c r="A10" s="226">
        <f t="shared" si="5"/>
        <v>5</v>
      </c>
      <c r="B10" s="260">
        <v>2024</v>
      </c>
      <c r="C10" s="35">
        <f t="shared" si="4"/>
        <v>18.018598708224001</v>
      </c>
      <c r="D10" s="35">
        <v>0</v>
      </c>
      <c r="E10" s="35">
        <f t="shared" si="0"/>
        <v>432.446368997376</v>
      </c>
      <c r="F10" s="36">
        <f t="shared" si="1"/>
        <v>0.94924338392049579</v>
      </c>
      <c r="G10" s="36">
        <f t="shared" si="2"/>
        <v>1</v>
      </c>
      <c r="H10" s="261">
        <f t="shared" si="3"/>
        <v>5.0756616079504213E-2</v>
      </c>
    </row>
    <row r="11" spans="1:8" x14ac:dyDescent="0.2">
      <c r="A11" s="226">
        <f t="shared" si="5"/>
        <v>6</v>
      </c>
      <c r="B11" s="260">
        <v>2025</v>
      </c>
      <c r="C11" s="35">
        <f t="shared" si="4"/>
        <v>18.378970682388481</v>
      </c>
      <c r="D11" s="35">
        <v>0</v>
      </c>
      <c r="E11" s="35">
        <f t="shared" si="0"/>
        <v>441.09529637732351</v>
      </c>
      <c r="F11" s="36">
        <f t="shared" si="1"/>
        <v>0.94822825159890578</v>
      </c>
      <c r="G11" s="36">
        <f t="shared" si="2"/>
        <v>1</v>
      </c>
      <c r="H11" s="261">
        <f t="shared" si="3"/>
        <v>5.177174840109422E-2</v>
      </c>
    </row>
    <row r="12" spans="1:8" x14ac:dyDescent="0.2">
      <c r="A12" s="226">
        <f t="shared" si="5"/>
        <v>7</v>
      </c>
      <c r="B12" s="260">
        <v>2026</v>
      </c>
      <c r="C12" s="35">
        <f t="shared" si="4"/>
        <v>18.746550096036252</v>
      </c>
      <c r="D12" s="35">
        <v>0</v>
      </c>
      <c r="E12" s="35">
        <f t="shared" si="0"/>
        <v>449.91720230487005</v>
      </c>
      <c r="F12" s="36">
        <f t="shared" si="1"/>
        <v>0.94719281663088384</v>
      </c>
      <c r="G12" s="36">
        <f t="shared" si="2"/>
        <v>1</v>
      </c>
      <c r="H12" s="261">
        <f t="shared" si="3"/>
        <v>5.2807183369116162E-2</v>
      </c>
    </row>
    <row r="13" spans="1:8" x14ac:dyDescent="0.2">
      <c r="A13" s="226">
        <f t="shared" si="5"/>
        <v>8</v>
      </c>
      <c r="B13" s="260">
        <v>2027</v>
      </c>
      <c r="C13" s="35">
        <f t="shared" si="4"/>
        <v>19.121481097956977</v>
      </c>
      <c r="D13" s="35">
        <v>0</v>
      </c>
      <c r="E13" s="35">
        <f t="shared" si="0"/>
        <v>458.91554635096747</v>
      </c>
      <c r="F13" s="36">
        <f t="shared" si="1"/>
        <v>0.94613667296350146</v>
      </c>
      <c r="G13" s="36">
        <f t="shared" si="2"/>
        <v>1</v>
      </c>
      <c r="H13" s="261">
        <f t="shared" si="3"/>
        <v>5.3863327036498543E-2</v>
      </c>
    </row>
    <row r="14" spans="1:8" x14ac:dyDescent="0.2">
      <c r="A14" s="226">
        <f t="shared" si="5"/>
        <v>9</v>
      </c>
      <c r="B14" s="260">
        <v>2028</v>
      </c>
      <c r="C14" s="35">
        <f t="shared" si="4"/>
        <v>19.503910719916117</v>
      </c>
      <c r="D14" s="35">
        <v>0</v>
      </c>
      <c r="E14" s="35">
        <f t="shared" si="0"/>
        <v>468.09385727798679</v>
      </c>
      <c r="F14" s="36">
        <f t="shared" si="1"/>
        <v>0.94505940642277153</v>
      </c>
      <c r="G14" s="36">
        <f t="shared" si="2"/>
        <v>1</v>
      </c>
      <c r="H14" s="261">
        <f t="shared" si="3"/>
        <v>5.4940593577228469E-2</v>
      </c>
    </row>
    <row r="15" spans="1:8" x14ac:dyDescent="0.2">
      <c r="A15" s="226">
        <f t="shared" si="5"/>
        <v>10</v>
      </c>
      <c r="B15" s="260">
        <v>2029</v>
      </c>
      <c r="C15" s="35">
        <f t="shared" si="4"/>
        <v>19.893988934314439</v>
      </c>
      <c r="D15" s="35">
        <v>0</v>
      </c>
      <c r="E15" s="35">
        <f t="shared" si="0"/>
        <v>477.45573442354657</v>
      </c>
      <c r="F15" s="36">
        <f t="shared" si="1"/>
        <v>0.94396059455122694</v>
      </c>
      <c r="G15" s="36">
        <f t="shared" si="2"/>
        <v>1</v>
      </c>
      <c r="H15" s="261">
        <f t="shared" si="3"/>
        <v>5.6039405448773061E-2</v>
      </c>
    </row>
    <row r="16" spans="1:8" x14ac:dyDescent="0.2">
      <c r="A16" s="226">
        <f t="shared" si="5"/>
        <v>11</v>
      </c>
      <c r="B16" s="260">
        <v>2030</v>
      </c>
      <c r="C16" s="35">
        <f t="shared" si="4"/>
        <v>20.291868713000728</v>
      </c>
      <c r="D16" s="35">
        <f>D15+((1/10)*(124/24))</f>
        <v>0.51666666666666672</v>
      </c>
      <c r="E16" s="35">
        <f t="shared" si="0"/>
        <v>474.60484911201752</v>
      </c>
      <c r="F16" s="36">
        <f t="shared" si="1"/>
        <v>0.94283980644225152</v>
      </c>
      <c r="G16" s="36">
        <f t="shared" si="2"/>
        <v>0.99854460093896713</v>
      </c>
      <c r="H16" s="261">
        <f t="shared" si="3"/>
        <v>5.5704794496715615E-2</v>
      </c>
    </row>
    <row r="17" spans="1:8" x14ac:dyDescent="0.2">
      <c r="A17" s="226">
        <f t="shared" si="5"/>
        <v>12</v>
      </c>
      <c r="B17" s="260">
        <v>2031</v>
      </c>
      <c r="C17" s="35">
        <f t="shared" si="4"/>
        <v>20.697706087260741</v>
      </c>
      <c r="D17" s="35">
        <f t="shared" ref="D17:D35" si="6">D16+((1/10)*(124/24))</f>
        <v>1.0333333333333334</v>
      </c>
      <c r="E17" s="35">
        <f t="shared" si="0"/>
        <v>471.94494609425772</v>
      </c>
      <c r="F17" s="36">
        <f t="shared" si="1"/>
        <v>0.94169660257109655</v>
      </c>
      <c r="G17" s="36">
        <f t="shared" si="2"/>
        <v>0.99708920187793415</v>
      </c>
      <c r="H17" s="261">
        <f t="shared" si="3"/>
        <v>5.5392599306837598E-2</v>
      </c>
    </row>
    <row r="18" spans="1:8" x14ac:dyDescent="0.2">
      <c r="A18" s="226">
        <f t="shared" si="5"/>
        <v>13</v>
      </c>
      <c r="B18" s="260">
        <v>2032</v>
      </c>
      <c r="C18" s="35">
        <f t="shared" si="4"/>
        <v>21.111660209005958</v>
      </c>
      <c r="D18" s="35">
        <f t="shared" si="6"/>
        <v>1.5500000000000003</v>
      </c>
      <c r="E18" s="35">
        <f t="shared" si="0"/>
        <v>469.47984501614297</v>
      </c>
      <c r="F18" s="36">
        <f t="shared" si="1"/>
        <v>0.94053053462251845</v>
      </c>
      <c r="G18" s="36">
        <f t="shared" si="2"/>
        <v>0.99563380281690139</v>
      </c>
      <c r="H18" s="261">
        <f t="shared" si="3"/>
        <v>5.5103268194382937E-2</v>
      </c>
    </row>
    <row r="19" spans="1:8" x14ac:dyDescent="0.2">
      <c r="A19" s="226">
        <f t="shared" si="5"/>
        <v>14</v>
      </c>
      <c r="B19" s="260">
        <v>2033</v>
      </c>
      <c r="C19" s="35">
        <f t="shared" si="4"/>
        <v>21.533893413186078</v>
      </c>
      <c r="D19" s="35">
        <f t="shared" si="6"/>
        <v>2.0666666666666669</v>
      </c>
      <c r="E19" s="35">
        <f t="shared" si="0"/>
        <v>467.21344191646585</v>
      </c>
      <c r="F19" s="36">
        <f t="shared" si="1"/>
        <v>0.93934114531496871</v>
      </c>
      <c r="G19" s="36">
        <f t="shared" si="2"/>
        <v>0.99417840375586852</v>
      </c>
      <c r="H19" s="261">
        <f t="shared" si="3"/>
        <v>5.4837258440899816E-2</v>
      </c>
    </row>
    <row r="20" spans="1:8" x14ac:dyDescent="0.2">
      <c r="A20" s="226">
        <f t="shared" si="5"/>
        <v>15</v>
      </c>
      <c r="B20" s="260">
        <v>2034</v>
      </c>
      <c r="C20" s="35">
        <f t="shared" si="4"/>
        <v>21.9645712814498</v>
      </c>
      <c r="D20" s="35">
        <f t="shared" si="6"/>
        <v>2.5833333333333335</v>
      </c>
      <c r="E20" s="35">
        <f t="shared" si="0"/>
        <v>465.14971075479525</v>
      </c>
      <c r="F20" s="36">
        <f t="shared" si="1"/>
        <v>0.93812796822126809</v>
      </c>
      <c r="G20" s="36">
        <f t="shared" si="2"/>
        <v>0.99272300469483576</v>
      </c>
      <c r="H20" s="261">
        <f t="shared" si="3"/>
        <v>5.4595036473567671E-2</v>
      </c>
    </row>
    <row r="21" spans="1:8" x14ac:dyDescent="0.2">
      <c r="A21" s="226">
        <f t="shared" si="5"/>
        <v>16</v>
      </c>
      <c r="B21" s="260">
        <v>2035</v>
      </c>
      <c r="C21" s="35">
        <f t="shared" si="4"/>
        <v>22.403862707078797</v>
      </c>
      <c r="D21" s="35">
        <f t="shared" si="6"/>
        <v>3.1</v>
      </c>
      <c r="E21" s="35">
        <f t="shared" si="0"/>
        <v>463.29270496989113</v>
      </c>
      <c r="F21" s="36">
        <f t="shared" si="1"/>
        <v>0.93689052758569347</v>
      </c>
      <c r="G21" s="36">
        <f t="shared" si="2"/>
        <v>0.99126760563380278</v>
      </c>
      <c r="H21" s="261">
        <f t="shared" si="3"/>
        <v>5.4377078048109317E-2</v>
      </c>
    </row>
    <row r="22" spans="1:8" x14ac:dyDescent="0.2">
      <c r="A22" s="226">
        <f t="shared" si="5"/>
        <v>17</v>
      </c>
      <c r="B22" s="260">
        <v>2036</v>
      </c>
      <c r="C22" s="35">
        <f t="shared" si="4"/>
        <v>22.851939961220374</v>
      </c>
      <c r="D22" s="35">
        <f t="shared" si="6"/>
        <v>3.6166666666666667</v>
      </c>
      <c r="E22" s="35">
        <f t="shared" si="0"/>
        <v>461.64655906928897</v>
      </c>
      <c r="F22" s="36">
        <f t="shared" si="1"/>
        <v>0.93562833813740742</v>
      </c>
      <c r="G22" s="36">
        <f t="shared" si="2"/>
        <v>0.98981220657276991</v>
      </c>
      <c r="H22" s="261">
        <f t="shared" si="3"/>
        <v>5.4183868435362492E-2</v>
      </c>
    </row>
    <row r="23" spans="1:8" x14ac:dyDescent="0.2">
      <c r="A23" s="226">
        <f t="shared" si="5"/>
        <v>18</v>
      </c>
      <c r="B23" s="260">
        <v>2037</v>
      </c>
      <c r="C23" s="35">
        <f t="shared" si="4"/>
        <v>23.308978760444781</v>
      </c>
      <c r="D23" s="35">
        <f t="shared" si="6"/>
        <v>4.1333333333333337</v>
      </c>
      <c r="E23" s="35">
        <f t="shared" si="0"/>
        <v>460.21549025067475</v>
      </c>
      <c r="F23" s="36">
        <f t="shared" si="1"/>
        <v>0.93434090490015553</v>
      </c>
      <c r="G23" s="36">
        <f t="shared" si="2"/>
        <v>0.98835680751173716</v>
      </c>
      <c r="H23" s="261">
        <f t="shared" si="3"/>
        <v>5.4015902611581623E-2</v>
      </c>
    </row>
    <row r="24" spans="1:8" x14ac:dyDescent="0.2">
      <c r="A24" s="226">
        <f t="shared" si="5"/>
        <v>19</v>
      </c>
      <c r="B24" s="260">
        <v>2038</v>
      </c>
      <c r="C24" s="35">
        <f t="shared" si="4"/>
        <v>23.775158335653678</v>
      </c>
      <c r="D24" s="35">
        <f t="shared" si="6"/>
        <v>4.6500000000000004</v>
      </c>
      <c r="E24" s="35">
        <f t="shared" si="0"/>
        <v>459.00380005568832</v>
      </c>
      <c r="F24" s="36">
        <f t="shared" si="1"/>
        <v>0.93302772299815873</v>
      </c>
      <c r="G24" s="36">
        <f t="shared" si="2"/>
        <v>0.98690140845070429</v>
      </c>
      <c r="H24" s="261">
        <f t="shared" si="3"/>
        <v>5.3873685452545561E-2</v>
      </c>
    </row>
    <row r="25" spans="1:8" x14ac:dyDescent="0.2">
      <c r="A25" s="226">
        <f t="shared" si="5"/>
        <v>20</v>
      </c>
      <c r="B25" s="260">
        <v>2039</v>
      </c>
      <c r="C25" s="35">
        <f t="shared" si="4"/>
        <v>24.250661502366754</v>
      </c>
      <c r="D25" s="35">
        <f t="shared" si="6"/>
        <v>5.166666666666667</v>
      </c>
      <c r="E25" s="35">
        <f t="shared" si="0"/>
        <v>458.01587605680209</v>
      </c>
      <c r="F25" s="36">
        <f t="shared" si="1"/>
        <v>0.93168827745812177</v>
      </c>
      <c r="G25" s="36">
        <f t="shared" si="2"/>
        <v>0.98544600938967131</v>
      </c>
      <c r="H25" s="261">
        <f t="shared" si="3"/>
        <v>5.3757731931549535E-2</v>
      </c>
    </row>
    <row r="26" spans="1:8" x14ac:dyDescent="0.2">
      <c r="A26" s="226">
        <f t="shared" si="5"/>
        <v>21</v>
      </c>
      <c r="B26" s="260">
        <v>2040</v>
      </c>
      <c r="C26" s="35">
        <f t="shared" si="4"/>
        <v>24.73567473241409</v>
      </c>
      <c r="D26" s="35">
        <f t="shared" si="6"/>
        <v>5.6833333333333336</v>
      </c>
      <c r="E26" s="35">
        <f t="shared" si="0"/>
        <v>457.25619357793812</v>
      </c>
      <c r="F26" s="36">
        <f t="shared" si="1"/>
        <v>0.93032204300728416</v>
      </c>
      <c r="G26" s="36">
        <f t="shared" si="2"/>
        <v>0.98399061032863844</v>
      </c>
      <c r="H26" s="261">
        <f t="shared" si="3"/>
        <v>5.3668567321354277E-2</v>
      </c>
    </row>
    <row r="27" spans="1:8" x14ac:dyDescent="0.2">
      <c r="A27" s="226">
        <f t="shared" si="5"/>
        <v>22</v>
      </c>
      <c r="B27" s="260">
        <v>2041</v>
      </c>
      <c r="C27" s="35">
        <f t="shared" si="4"/>
        <v>25.23038822706237</v>
      </c>
      <c r="D27" s="35">
        <f t="shared" si="6"/>
        <v>6.2</v>
      </c>
      <c r="E27" s="35">
        <f t="shared" si="0"/>
        <v>456.72931744949688</v>
      </c>
      <c r="F27" s="36">
        <f t="shared" si="1"/>
        <v>0.92892848386742999</v>
      </c>
      <c r="G27" s="36">
        <f t="shared" si="2"/>
        <v>0.98253521126760568</v>
      </c>
      <c r="H27" s="261">
        <f t="shared" si="3"/>
        <v>5.3606727400175691E-2</v>
      </c>
    </row>
    <row r="28" spans="1:8" x14ac:dyDescent="0.2">
      <c r="A28" s="226">
        <f t="shared" si="5"/>
        <v>23</v>
      </c>
      <c r="B28" s="260">
        <v>2042</v>
      </c>
      <c r="C28" s="35">
        <f t="shared" si="4"/>
        <v>25.734995991603618</v>
      </c>
      <c r="D28" s="35">
        <f t="shared" si="6"/>
        <v>6.7166666666666668</v>
      </c>
      <c r="E28" s="35">
        <f t="shared" si="0"/>
        <v>456.4399037984868</v>
      </c>
      <c r="F28" s="36">
        <f t="shared" si="1"/>
        <v>0.92750705354477847</v>
      </c>
      <c r="G28" s="36">
        <f t="shared" si="2"/>
        <v>0.98107981220657281</v>
      </c>
      <c r="H28" s="261">
        <f t="shared" si="3"/>
        <v>5.357275866179434E-2</v>
      </c>
    </row>
    <row r="29" spans="1:8" x14ac:dyDescent="0.2">
      <c r="A29" s="226">
        <f t="shared" si="5"/>
        <v>24</v>
      </c>
      <c r="B29" s="260">
        <v>2043</v>
      </c>
      <c r="C29" s="35">
        <f t="shared" si="4"/>
        <v>26.24969591143569</v>
      </c>
      <c r="D29" s="35">
        <f t="shared" si="6"/>
        <v>7.2333333333333334</v>
      </c>
      <c r="E29" s="35">
        <f t="shared" si="0"/>
        <v>456.39270187445652</v>
      </c>
      <c r="F29" s="36">
        <f t="shared" si="1"/>
        <v>0.92605719461567404</v>
      </c>
      <c r="G29" s="36">
        <f t="shared" si="2"/>
        <v>0.97962441314553983</v>
      </c>
      <c r="H29" s="261">
        <f t="shared" si="3"/>
        <v>5.356721852986579E-2</v>
      </c>
    </row>
    <row r="30" spans="1:8" x14ac:dyDescent="0.2">
      <c r="A30" s="226">
        <f t="shared" si="5"/>
        <v>25</v>
      </c>
      <c r="B30" s="260">
        <v>2044</v>
      </c>
      <c r="C30" s="35">
        <f t="shared" si="4"/>
        <v>26.774689829664403</v>
      </c>
      <c r="D30" s="35">
        <f t="shared" si="6"/>
        <v>7.75</v>
      </c>
      <c r="E30" s="35">
        <f t="shared" si="0"/>
        <v>456.59255591194568</v>
      </c>
      <c r="F30" s="36">
        <f t="shared" si="1"/>
        <v>0.92457833850798765</v>
      </c>
      <c r="G30" s="36">
        <f t="shared" si="2"/>
        <v>0.97816901408450707</v>
      </c>
      <c r="H30" s="261">
        <f t="shared" si="3"/>
        <v>5.359067557651942E-2</v>
      </c>
    </row>
    <row r="31" spans="1:8" x14ac:dyDescent="0.2">
      <c r="A31" s="226">
        <f t="shared" si="5"/>
        <v>26</v>
      </c>
      <c r="B31" s="260">
        <v>2045</v>
      </c>
      <c r="C31" s="35">
        <f t="shared" si="4"/>
        <v>27.310183626257693</v>
      </c>
      <c r="D31" s="35">
        <f t="shared" si="6"/>
        <v>8.2666666666666675</v>
      </c>
      <c r="E31" s="35">
        <f t="shared" si="0"/>
        <v>457.04440703018457</v>
      </c>
      <c r="F31" s="36">
        <f t="shared" si="1"/>
        <v>0.92306990527814736</v>
      </c>
      <c r="G31" s="36">
        <f t="shared" si="2"/>
        <v>0.9767136150234742</v>
      </c>
      <c r="H31" s="261">
        <f t="shared" si="3"/>
        <v>5.364370974532684E-2</v>
      </c>
    </row>
    <row r="32" spans="1:8" x14ac:dyDescent="0.2">
      <c r="A32" s="226">
        <f t="shared" si="5"/>
        <v>27</v>
      </c>
      <c r="B32" s="260">
        <v>2046</v>
      </c>
      <c r="C32" s="35">
        <f t="shared" si="4"/>
        <v>27.856387298782849</v>
      </c>
      <c r="D32" s="35">
        <f t="shared" si="6"/>
        <v>8.783333333333335</v>
      </c>
      <c r="E32" s="35">
        <f t="shared" si="0"/>
        <v>457.75329517078831</v>
      </c>
      <c r="F32" s="36">
        <f t="shared" si="1"/>
        <v>0.92153130338371025</v>
      </c>
      <c r="G32" s="36">
        <f t="shared" si="2"/>
        <v>0.97525821596244122</v>
      </c>
      <c r="H32" s="261">
        <f t="shared" si="3"/>
        <v>5.3726912578730968E-2</v>
      </c>
    </row>
    <row r="33" spans="1:8" x14ac:dyDescent="0.2">
      <c r="A33" s="226">
        <f t="shared" si="5"/>
        <v>28</v>
      </c>
      <c r="B33" s="260">
        <v>2047</v>
      </c>
      <c r="C33" s="35">
        <f t="shared" si="4"/>
        <v>28.413515044758505</v>
      </c>
      <c r="D33" s="35">
        <f t="shared" si="6"/>
        <v>9.3000000000000025</v>
      </c>
      <c r="E33" s="35">
        <f t="shared" si="0"/>
        <v>458.72436107420401</v>
      </c>
      <c r="F33" s="36">
        <f t="shared" si="1"/>
        <v>0.91996192945138444</v>
      </c>
      <c r="G33" s="36">
        <f t="shared" si="2"/>
        <v>0.97380281690140846</v>
      </c>
      <c r="H33" s="261">
        <f t="shared" si="3"/>
        <v>5.3840887450024022E-2</v>
      </c>
    </row>
    <row r="34" spans="1:8" x14ac:dyDescent="0.2">
      <c r="A34" s="226">
        <f t="shared" si="5"/>
        <v>29</v>
      </c>
      <c r="B34" s="260">
        <v>2048</v>
      </c>
      <c r="C34" s="35">
        <f t="shared" si="4"/>
        <v>28.981785345653677</v>
      </c>
      <c r="D34" s="35">
        <f t="shared" si="6"/>
        <v>9.81666666666667</v>
      </c>
      <c r="E34" s="35">
        <f t="shared" si="0"/>
        <v>459.96284829568816</v>
      </c>
      <c r="F34" s="36">
        <f t="shared" si="1"/>
        <v>0.91836116804041212</v>
      </c>
      <c r="G34" s="36">
        <f t="shared" si="2"/>
        <v>0.97234741784037559</v>
      </c>
      <c r="H34" s="261">
        <f t="shared" si="3"/>
        <v>5.3986249799963471E-2</v>
      </c>
    </row>
    <row r="35" spans="1:8" x14ac:dyDescent="0.2">
      <c r="A35" s="226">
        <f t="shared" si="5"/>
        <v>30</v>
      </c>
      <c r="B35" s="260">
        <v>2049</v>
      </c>
      <c r="C35" s="35">
        <f t="shared" si="4"/>
        <v>29.56142105256675</v>
      </c>
      <c r="D35" s="35">
        <f t="shared" si="6"/>
        <v>10.333333333333337</v>
      </c>
      <c r="E35" s="35">
        <f>(C35-D35)*24</f>
        <v>461.47410526160195</v>
      </c>
      <c r="F35" s="36">
        <f>(355-C35)/355</f>
        <v>0.91672839140122042</v>
      </c>
      <c r="G35" s="36">
        <f>(355-D35)/355</f>
        <v>0.97089201877934272</v>
      </c>
      <c r="H35" s="261">
        <f>G35-F35</f>
        <v>5.4163627378122303E-2</v>
      </c>
    </row>
    <row r="36" spans="1:8" ht="13.5" thickBot="1" x14ac:dyDescent="0.25">
      <c r="A36" s="591" t="s">
        <v>0</v>
      </c>
      <c r="B36" s="592"/>
      <c r="C36" s="178">
        <f>SUM(C3:C34)</f>
        <v>694.0710526283367</v>
      </c>
      <c r="D36" s="178">
        <f>SUM(D3:D34)</f>
        <v>146.48666666666668</v>
      </c>
      <c r="E36" s="178">
        <f>SUM(E3:E34)</f>
        <v>13142.025263080084</v>
      </c>
      <c r="F36" s="78"/>
      <c r="G36" s="78"/>
      <c r="H36" s="262"/>
    </row>
  </sheetData>
  <mergeCells count="1">
    <mergeCell ref="A36:B36"/>
  </mergeCells>
  <pageMargins left="0.25" right="0.25"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heetViews>
  <sheetFormatPr defaultRowHeight="12.75" x14ac:dyDescent="0.2"/>
  <cols>
    <col min="1" max="2" width="9.140625" style="234"/>
    <col min="3" max="6" width="15.7109375" style="1" customWidth="1"/>
    <col min="7" max="16384" width="9.140625" style="1"/>
  </cols>
  <sheetData>
    <row r="1" spans="1:6" ht="38.25" x14ac:dyDescent="0.2">
      <c r="A1" s="218" t="s">
        <v>130</v>
      </c>
      <c r="B1" s="162" t="s">
        <v>2</v>
      </c>
      <c r="C1" s="215" t="s">
        <v>45</v>
      </c>
      <c r="D1" s="215" t="s">
        <v>98</v>
      </c>
      <c r="E1" s="215" t="s">
        <v>104</v>
      </c>
      <c r="F1" s="164" t="s">
        <v>359</v>
      </c>
    </row>
    <row r="2" spans="1:6" x14ac:dyDescent="0.2">
      <c r="A2" s="226">
        <v>-1</v>
      </c>
      <c r="B2" s="71">
        <v>2018</v>
      </c>
      <c r="C2" s="52">
        <f>'T8 Crane Reliability'!E4</f>
        <v>0</v>
      </c>
      <c r="D2" s="35">
        <f>'T3 Inputs'!$B$28</f>
        <v>206</v>
      </c>
      <c r="E2" s="52">
        <f>C2*'T3 Inputs'!$B$33*D2</f>
        <v>0</v>
      </c>
      <c r="F2" s="504">
        <f>E2/907184.75</f>
        <v>0</v>
      </c>
    </row>
    <row r="3" spans="1:6" x14ac:dyDescent="0.2">
      <c r="A3" s="226">
        <f>A2+1</f>
        <v>0</v>
      </c>
      <c r="B3" s="70">
        <f>B2+1</f>
        <v>2019</v>
      </c>
      <c r="C3" s="52">
        <f>'T8 Crane Reliability'!E5</f>
        <v>0</v>
      </c>
      <c r="D3" s="35">
        <f>'T3 Inputs'!$B$28</f>
        <v>206</v>
      </c>
      <c r="E3" s="52">
        <f>C3*'T3 Inputs'!$B$33*D3</f>
        <v>0</v>
      </c>
      <c r="F3" s="504">
        <f t="shared" ref="F3:F33" si="0">E3/907184.75</f>
        <v>0</v>
      </c>
    </row>
    <row r="4" spans="1:6" x14ac:dyDescent="0.2">
      <c r="A4" s="226">
        <f t="shared" ref="A4:A33" si="1">A3+1</f>
        <v>1</v>
      </c>
      <c r="B4" s="70">
        <f t="shared" ref="B4:B33" si="2">B3+1</f>
        <v>2020</v>
      </c>
      <c r="C4" s="52">
        <f>'T8 Crane Reliability'!E6</f>
        <v>399.5136</v>
      </c>
      <c r="D4" s="35">
        <f>'T3 Inputs'!$B$28</f>
        <v>206</v>
      </c>
      <c r="E4" s="52">
        <f>C4*'T3 Inputs'!$B$33*D4</f>
        <v>246899404.80000001</v>
      </c>
      <c r="F4" s="504">
        <f t="shared" si="0"/>
        <v>272.16000357148863</v>
      </c>
    </row>
    <row r="5" spans="1:6" x14ac:dyDescent="0.2">
      <c r="A5" s="226">
        <f t="shared" si="1"/>
        <v>2</v>
      </c>
      <c r="B5" s="70">
        <f t="shared" si="2"/>
        <v>2021</v>
      </c>
      <c r="C5" s="35">
        <f>'T8 Crane Reliability'!E7</f>
        <v>407.503872</v>
      </c>
      <c r="D5" s="35">
        <f>'T3 Inputs'!$B$28</f>
        <v>206</v>
      </c>
      <c r="E5" s="35">
        <f>C5*'T3 Inputs'!$B$33*D5</f>
        <v>251837392.896</v>
      </c>
      <c r="F5" s="505">
        <f t="shared" si="0"/>
        <v>277.6032036429184</v>
      </c>
    </row>
    <row r="6" spans="1:6" x14ac:dyDescent="0.2">
      <c r="A6" s="226">
        <f t="shared" si="1"/>
        <v>3</v>
      </c>
      <c r="B6" s="70">
        <f t="shared" si="2"/>
        <v>2022</v>
      </c>
      <c r="C6" s="35">
        <f>'T8 Crane Reliability'!E8</f>
        <v>415.65394944000002</v>
      </c>
      <c r="D6" s="35">
        <f>'T3 Inputs'!$B$28</f>
        <v>206</v>
      </c>
      <c r="E6" s="35">
        <f>C6*'T3 Inputs'!$B$33*D6</f>
        <v>256874140.75392002</v>
      </c>
      <c r="F6" s="505">
        <f t="shared" si="0"/>
        <v>283.15526771577674</v>
      </c>
    </row>
    <row r="7" spans="1:6" x14ac:dyDescent="0.2">
      <c r="A7" s="226">
        <f t="shared" si="1"/>
        <v>4</v>
      </c>
      <c r="B7" s="70">
        <f t="shared" si="2"/>
        <v>2023</v>
      </c>
      <c r="C7" s="35">
        <f>'T8 Crane Reliability'!E9</f>
        <v>423.96702842880001</v>
      </c>
      <c r="D7" s="35">
        <f>'T3 Inputs'!$B$28</f>
        <v>206</v>
      </c>
      <c r="E7" s="35">
        <f>C7*'T3 Inputs'!$B$33*D7</f>
        <v>262011623.5689984</v>
      </c>
      <c r="F7" s="505">
        <f t="shared" si="0"/>
        <v>288.81837307009226</v>
      </c>
    </row>
    <row r="8" spans="1:6" x14ac:dyDescent="0.2">
      <c r="A8" s="226">
        <f t="shared" si="1"/>
        <v>5</v>
      </c>
      <c r="B8" s="70">
        <f t="shared" si="2"/>
        <v>2024</v>
      </c>
      <c r="C8" s="35">
        <f>'T8 Crane Reliability'!E10</f>
        <v>432.446368997376</v>
      </c>
      <c r="D8" s="35">
        <f>'T3 Inputs'!$B$28</f>
        <v>206</v>
      </c>
      <c r="E8" s="35">
        <f>C8*'T3 Inputs'!$B$33*D8</f>
        <v>267251856.04037839</v>
      </c>
      <c r="F8" s="505">
        <f t="shared" si="0"/>
        <v>294.59474053149415</v>
      </c>
    </row>
    <row r="9" spans="1:6" x14ac:dyDescent="0.2">
      <c r="A9" s="226">
        <f t="shared" si="1"/>
        <v>6</v>
      </c>
      <c r="B9" s="70">
        <f t="shared" si="2"/>
        <v>2025</v>
      </c>
      <c r="C9" s="35">
        <f>'T8 Crane Reliability'!E11</f>
        <v>441.09529637732351</v>
      </c>
      <c r="D9" s="35">
        <f>'T3 Inputs'!$B$28</f>
        <v>206</v>
      </c>
      <c r="E9" s="35">
        <f>C9*'T3 Inputs'!$B$33*D9</f>
        <v>272596893.16118592</v>
      </c>
      <c r="F9" s="505">
        <f t="shared" si="0"/>
        <v>300.48663534212398</v>
      </c>
    </row>
    <row r="10" spans="1:6" x14ac:dyDescent="0.2">
      <c r="A10" s="226">
        <f t="shared" si="1"/>
        <v>7</v>
      </c>
      <c r="B10" s="70">
        <f t="shared" si="2"/>
        <v>2026</v>
      </c>
      <c r="C10" s="35">
        <f>'T8 Crane Reliability'!E12</f>
        <v>449.91720230487005</v>
      </c>
      <c r="D10" s="35">
        <f>'T3 Inputs'!$B$28</f>
        <v>206</v>
      </c>
      <c r="E10" s="35">
        <f>C10*'T3 Inputs'!$B$33*D10</f>
        <v>278048831.02440971</v>
      </c>
      <c r="F10" s="505">
        <f t="shared" si="0"/>
        <v>306.49636804896653</v>
      </c>
    </row>
    <row r="11" spans="1:6" x14ac:dyDescent="0.2">
      <c r="A11" s="226">
        <f t="shared" si="1"/>
        <v>8</v>
      </c>
      <c r="B11" s="70">
        <f t="shared" si="2"/>
        <v>2027</v>
      </c>
      <c r="C11" s="35">
        <f>'T8 Crane Reliability'!E13</f>
        <v>458.91554635096747</v>
      </c>
      <c r="D11" s="35">
        <f>'T3 Inputs'!$B$28</f>
        <v>206</v>
      </c>
      <c r="E11" s="35">
        <f>C11*'T3 Inputs'!$B$33*D11</f>
        <v>283609807.64489788</v>
      </c>
      <c r="F11" s="505">
        <f t="shared" si="0"/>
        <v>312.62629540994584</v>
      </c>
    </row>
    <row r="12" spans="1:6" x14ac:dyDescent="0.2">
      <c r="A12" s="226">
        <f t="shared" si="1"/>
        <v>9</v>
      </c>
      <c r="B12" s="70">
        <f t="shared" si="2"/>
        <v>2028</v>
      </c>
      <c r="C12" s="35">
        <f>'T8 Crane Reliability'!E14</f>
        <v>468.09385727798679</v>
      </c>
      <c r="D12" s="35">
        <f>'T3 Inputs'!$B$28</f>
        <v>206</v>
      </c>
      <c r="E12" s="35">
        <f>C12*'T3 Inputs'!$B$33*D12</f>
        <v>289282003.79779583</v>
      </c>
      <c r="F12" s="505">
        <f t="shared" si="0"/>
        <v>318.87882131814479</v>
      </c>
    </row>
    <row r="13" spans="1:6" x14ac:dyDescent="0.2">
      <c r="A13" s="226">
        <f t="shared" si="1"/>
        <v>10</v>
      </c>
      <c r="B13" s="70">
        <f t="shared" si="2"/>
        <v>2029</v>
      </c>
      <c r="C13" s="35">
        <f>'T8 Crane Reliability'!E15</f>
        <v>477.45573442354657</v>
      </c>
      <c r="D13" s="35">
        <f>'T3 Inputs'!$B$28</f>
        <v>206</v>
      </c>
      <c r="E13" s="35">
        <f>C13*'T3 Inputs'!$B$33*D13</f>
        <v>295067643.87375182</v>
      </c>
      <c r="F13" s="505">
        <f t="shared" si="0"/>
        <v>325.25639774450775</v>
      </c>
    </row>
    <row r="14" spans="1:6" x14ac:dyDescent="0.2">
      <c r="A14" s="226">
        <f t="shared" si="1"/>
        <v>11</v>
      </c>
      <c r="B14" s="70">
        <f t="shared" si="2"/>
        <v>2030</v>
      </c>
      <c r="C14" s="35">
        <f>'T8 Crane Reliability'!E16</f>
        <v>474.60484911201752</v>
      </c>
      <c r="D14" s="35">
        <f>'T3 Inputs'!$B$28</f>
        <v>206</v>
      </c>
      <c r="E14" s="35">
        <f>C14*'T3 Inputs'!$B$33*D14</f>
        <v>293305796.75122684</v>
      </c>
      <c r="F14" s="505">
        <f t="shared" si="0"/>
        <v>323.31429375463688</v>
      </c>
    </row>
    <row r="15" spans="1:6" x14ac:dyDescent="0.2">
      <c r="A15" s="226">
        <f t="shared" si="1"/>
        <v>12</v>
      </c>
      <c r="B15" s="70">
        <f t="shared" si="2"/>
        <v>2031</v>
      </c>
      <c r="C15" s="35">
        <f>'T8 Crane Reliability'!E17</f>
        <v>471.94494609425772</v>
      </c>
      <c r="D15" s="35">
        <f>'T3 Inputs'!$B$28</f>
        <v>206</v>
      </c>
      <c r="E15" s="35">
        <f>C15*'T3 Inputs'!$B$33*D15</f>
        <v>291661976.68625122</v>
      </c>
      <c r="F15" s="505">
        <f t="shared" si="0"/>
        <v>321.50229232386374</v>
      </c>
    </row>
    <row r="16" spans="1:6" x14ac:dyDescent="0.2">
      <c r="A16" s="226">
        <f t="shared" si="1"/>
        <v>13</v>
      </c>
      <c r="B16" s="70">
        <f t="shared" si="2"/>
        <v>2032</v>
      </c>
      <c r="C16" s="35">
        <f>'T8 Crane Reliability'!E18</f>
        <v>469.47984501614297</v>
      </c>
      <c r="D16" s="35">
        <f>'T3 Inputs'!$B$28</f>
        <v>206</v>
      </c>
      <c r="E16" s="35">
        <f>C16*'T3 Inputs'!$B$33*D16</f>
        <v>290138544.21997637</v>
      </c>
      <c r="F16" s="505">
        <f t="shared" si="0"/>
        <v>319.82299550337058</v>
      </c>
    </row>
    <row r="17" spans="1:6" x14ac:dyDescent="0.2">
      <c r="A17" s="226">
        <f t="shared" si="1"/>
        <v>14</v>
      </c>
      <c r="B17" s="70">
        <f t="shared" si="2"/>
        <v>2033</v>
      </c>
      <c r="C17" s="35">
        <f>'T8 Crane Reliability'!E19</f>
        <v>467.21344191646585</v>
      </c>
      <c r="D17" s="35">
        <f>'T3 Inputs'!$B$28</f>
        <v>206</v>
      </c>
      <c r="E17" s="35">
        <f>C17*'T3 Inputs'!$B$33*D17</f>
        <v>288737907.1043759</v>
      </c>
      <c r="F17" s="505">
        <f t="shared" si="0"/>
        <v>318.27905738536271</v>
      </c>
    </row>
    <row r="18" spans="1:6" x14ac:dyDescent="0.2">
      <c r="A18" s="226">
        <f t="shared" si="1"/>
        <v>15</v>
      </c>
      <c r="B18" s="70">
        <f t="shared" si="2"/>
        <v>2034</v>
      </c>
      <c r="C18" s="35">
        <f>'T8 Crane Reliability'!E20</f>
        <v>465.14971075479525</v>
      </c>
      <c r="D18" s="35">
        <f>'T3 Inputs'!$B$28</f>
        <v>206</v>
      </c>
      <c r="E18" s="35">
        <f>C18*'T3 Inputs'!$B$33*D18</f>
        <v>287462521.24646348</v>
      </c>
      <c r="F18" s="505">
        <f t="shared" si="0"/>
        <v>316.87318514388988</v>
      </c>
    </row>
    <row r="19" spans="1:6" x14ac:dyDescent="0.2">
      <c r="A19" s="226">
        <f t="shared" si="1"/>
        <v>16</v>
      </c>
      <c r="B19" s="70">
        <f t="shared" si="2"/>
        <v>2035</v>
      </c>
      <c r="C19" s="35">
        <f>'T8 Crane Reliability'!E21</f>
        <v>463.29270496989113</v>
      </c>
      <c r="D19" s="35">
        <f>'T3 Inputs'!$B$28</f>
        <v>206</v>
      </c>
      <c r="E19" s="35">
        <f>C19*'T3 Inputs'!$B$33*D19</f>
        <v>286314891.67139268</v>
      </c>
      <c r="F19" s="505">
        <f t="shared" si="0"/>
        <v>315.60814009648277</v>
      </c>
    </row>
    <row r="20" spans="1:6" x14ac:dyDescent="0.2">
      <c r="A20" s="226">
        <f t="shared" si="1"/>
        <v>17</v>
      </c>
      <c r="B20" s="70">
        <f t="shared" si="2"/>
        <v>2036</v>
      </c>
      <c r="C20" s="35">
        <f>'T8 Crane Reliability'!E22</f>
        <v>461.64655906928897</v>
      </c>
      <c r="D20" s="35">
        <f>'T3 Inputs'!$B$28</f>
        <v>206</v>
      </c>
      <c r="E20" s="35">
        <f>C20*'T3 Inputs'!$B$33*D20</f>
        <v>285297573.50482059</v>
      </c>
      <c r="F20" s="505">
        <f t="shared" si="0"/>
        <v>314.48673878702283</v>
      </c>
    </row>
    <row r="21" spans="1:6" x14ac:dyDescent="0.2">
      <c r="A21" s="226">
        <f t="shared" si="1"/>
        <v>18</v>
      </c>
      <c r="B21" s="70">
        <f t="shared" si="2"/>
        <v>2037</v>
      </c>
      <c r="C21" s="35">
        <f>'T8 Crane Reliability'!E23</f>
        <v>460.21549025067475</v>
      </c>
      <c r="D21" s="35">
        <f>'T3 Inputs'!$B$28</f>
        <v>206</v>
      </c>
      <c r="E21" s="35">
        <f>C21*'T3 Inputs'!$B$33*D21</f>
        <v>284413172.97491699</v>
      </c>
      <c r="F21" s="505">
        <f t="shared" si="0"/>
        <v>313.5118540902688</v>
      </c>
    </row>
    <row r="22" spans="1:6" x14ac:dyDescent="0.2">
      <c r="A22" s="226">
        <f t="shared" si="1"/>
        <v>19</v>
      </c>
      <c r="B22" s="70">
        <f t="shared" si="2"/>
        <v>2038</v>
      </c>
      <c r="C22" s="35">
        <f>'T8 Crane Reliability'!E24</f>
        <v>459.00380005568832</v>
      </c>
      <c r="D22" s="35">
        <f>'T3 Inputs'!$B$28</f>
        <v>206</v>
      </c>
      <c r="E22" s="35">
        <f>C22*'T3 Inputs'!$B$33*D22</f>
        <v>283664348.4344154</v>
      </c>
      <c r="F22" s="505">
        <f t="shared" si="0"/>
        <v>312.68641633847506</v>
      </c>
    </row>
    <row r="23" spans="1:6" x14ac:dyDescent="0.2">
      <c r="A23" s="226">
        <f t="shared" si="1"/>
        <v>20</v>
      </c>
      <c r="B23" s="70">
        <f t="shared" si="2"/>
        <v>2039</v>
      </c>
      <c r="C23" s="35">
        <f>'T8 Crane Reliability'!E25</f>
        <v>458.01587605680209</v>
      </c>
      <c r="D23" s="35">
        <f>'T3 Inputs'!$B$28</f>
        <v>206</v>
      </c>
      <c r="E23" s="35">
        <f>C23*'T3 Inputs'!$B$33*D23</f>
        <v>283053811.40310371</v>
      </c>
      <c r="F23" s="505">
        <f t="shared" si="0"/>
        <v>312.01341447054057</v>
      </c>
    </row>
    <row r="24" spans="1:6" x14ac:dyDescent="0.2">
      <c r="A24" s="226">
        <f t="shared" si="1"/>
        <v>21</v>
      </c>
      <c r="B24" s="70">
        <f t="shared" si="2"/>
        <v>2040</v>
      </c>
      <c r="C24" s="35">
        <f>'T8 Crane Reliability'!E26</f>
        <v>457.25619357793812</v>
      </c>
      <c r="D24" s="35">
        <f>'T3 Inputs'!$B$28</f>
        <v>206</v>
      </c>
      <c r="E24" s="35">
        <f>C24*'T3 Inputs'!$B$33*D24</f>
        <v>282584327.63116574</v>
      </c>
      <c r="F24" s="505">
        <f t="shared" si="0"/>
        <v>311.49589720414252</v>
      </c>
    </row>
    <row r="25" spans="1:6" x14ac:dyDescent="0.2">
      <c r="A25" s="226">
        <f t="shared" si="1"/>
        <v>22</v>
      </c>
      <c r="B25" s="70">
        <f t="shared" si="2"/>
        <v>2041</v>
      </c>
      <c r="C25" s="35">
        <f>'T8 Crane Reliability'!E27</f>
        <v>456.72931744949688</v>
      </c>
      <c r="D25" s="35">
        <f>'T3 Inputs'!$B$28</f>
        <v>206</v>
      </c>
      <c r="E25" s="35">
        <f>C25*'T3 Inputs'!$B$33*D25</f>
        <v>282258718.18378907</v>
      </c>
      <c r="F25" s="505">
        <f t="shared" si="0"/>
        <v>311.13697423131185</v>
      </c>
    </row>
    <row r="26" spans="1:6" x14ac:dyDescent="0.2">
      <c r="A26" s="226">
        <f t="shared" si="1"/>
        <v>23</v>
      </c>
      <c r="B26" s="70">
        <f t="shared" si="2"/>
        <v>2042</v>
      </c>
      <c r="C26" s="35">
        <f>'T8 Crane Reliability'!E28</f>
        <v>456.4399037984868</v>
      </c>
      <c r="D26" s="35">
        <f>'T3 Inputs'!$B$28</f>
        <v>206</v>
      </c>
      <c r="E26" s="35">
        <f>C26*'T3 Inputs'!$B$33*D26</f>
        <v>282079860.54746485</v>
      </c>
      <c r="F26" s="505">
        <f t="shared" si="0"/>
        <v>310.93981743791971</v>
      </c>
    </row>
    <row r="27" spans="1:6" x14ac:dyDescent="0.2">
      <c r="A27" s="226">
        <f t="shared" si="1"/>
        <v>24</v>
      </c>
      <c r="B27" s="70">
        <f t="shared" si="2"/>
        <v>2043</v>
      </c>
      <c r="C27" s="35">
        <f>'T8 Crane Reliability'!E29</f>
        <v>456.39270187445652</v>
      </c>
      <c r="D27" s="35">
        <f>'T3 Inputs'!$B$28</f>
        <v>206</v>
      </c>
      <c r="E27" s="35">
        <f>C27*'T3 Inputs'!$B$33*D27</f>
        <v>282050689.75841415</v>
      </c>
      <c r="F27" s="505">
        <f t="shared" si="0"/>
        <v>310.90766214755502</v>
      </c>
    </row>
    <row r="28" spans="1:6" x14ac:dyDescent="0.2">
      <c r="A28" s="226">
        <f t="shared" si="1"/>
        <v>25</v>
      </c>
      <c r="B28" s="70">
        <f t="shared" si="2"/>
        <v>2044</v>
      </c>
      <c r="C28" s="35">
        <f>'T8 Crane Reliability'!E30</f>
        <v>456.59255591194568</v>
      </c>
      <c r="D28" s="35">
        <f>'T3 Inputs'!$B$28</f>
        <v>206</v>
      </c>
      <c r="E28" s="35">
        <f>C28*'T3 Inputs'!$B$33*D28</f>
        <v>282174199.55358243</v>
      </c>
      <c r="F28" s="505">
        <f t="shared" si="0"/>
        <v>311.04380839027817</v>
      </c>
    </row>
    <row r="29" spans="1:6" x14ac:dyDescent="0.2">
      <c r="A29" s="226">
        <f t="shared" si="1"/>
        <v>26</v>
      </c>
      <c r="B29" s="70">
        <f t="shared" si="2"/>
        <v>2045</v>
      </c>
      <c r="C29" s="35">
        <f>'T8 Crane Reliability'!E31</f>
        <v>457.04440703018457</v>
      </c>
      <c r="D29" s="35">
        <f>'T3 Inputs'!$B$28</f>
        <v>206</v>
      </c>
      <c r="E29" s="35">
        <f>C29*'T3 Inputs'!$B$33*D29</f>
        <v>282453443.54465407</v>
      </c>
      <c r="F29" s="505">
        <f t="shared" si="0"/>
        <v>311.35162219675107</v>
      </c>
    </row>
    <row r="30" spans="1:6" x14ac:dyDescent="0.2">
      <c r="A30" s="226">
        <f t="shared" si="1"/>
        <v>27</v>
      </c>
      <c r="B30" s="70">
        <f t="shared" si="2"/>
        <v>2046</v>
      </c>
      <c r="C30" s="35">
        <f>'T8 Crane Reliability'!E32</f>
        <v>457.75329517078831</v>
      </c>
      <c r="D30" s="35">
        <f>'T3 Inputs'!$B$28</f>
        <v>206</v>
      </c>
      <c r="E30" s="35">
        <f>C30*'T3 Inputs'!$B$33*D30</f>
        <v>282891536.41554719</v>
      </c>
      <c r="F30" s="505">
        <f t="shared" si="0"/>
        <v>311.83453691824866</v>
      </c>
    </row>
    <row r="31" spans="1:6" x14ac:dyDescent="0.2">
      <c r="A31" s="226">
        <f t="shared" si="1"/>
        <v>28</v>
      </c>
      <c r="B31" s="70">
        <f t="shared" si="2"/>
        <v>2047</v>
      </c>
      <c r="C31" s="35">
        <f>'T8 Crane Reliability'!E33</f>
        <v>458.72436107420401</v>
      </c>
      <c r="D31" s="35">
        <f>'T3 Inputs'!$B$28</f>
        <v>206</v>
      </c>
      <c r="E31" s="35">
        <f>C31*'T3 Inputs'!$B$33*D31</f>
        <v>283491655.14385808</v>
      </c>
      <c r="F31" s="505">
        <f t="shared" si="0"/>
        <v>312.49605457307132</v>
      </c>
    </row>
    <row r="32" spans="1:6" x14ac:dyDescent="0.2">
      <c r="A32" s="226">
        <f t="shared" si="1"/>
        <v>29</v>
      </c>
      <c r="B32" s="70">
        <f t="shared" si="2"/>
        <v>2048</v>
      </c>
      <c r="C32" s="35">
        <f>'T8 Crane Reliability'!E34</f>
        <v>459.96284829568816</v>
      </c>
      <c r="D32" s="35">
        <f>'T3 Inputs'!$B$28</f>
        <v>206</v>
      </c>
      <c r="E32" s="35">
        <f>C32*'T3 Inputs'!$B$33*D32</f>
        <v>284257040.24673527</v>
      </c>
      <c r="F32" s="505">
        <f t="shared" si="0"/>
        <v>313.33974721988579</v>
      </c>
    </row>
    <row r="33" spans="1:6" x14ac:dyDescent="0.2">
      <c r="A33" s="226">
        <f t="shared" si="1"/>
        <v>30</v>
      </c>
      <c r="B33" s="70">
        <f t="shared" si="2"/>
        <v>2049</v>
      </c>
      <c r="C33" s="35">
        <f>'T8 Crane Reliability'!E35</f>
        <v>461.47410526160195</v>
      </c>
      <c r="D33" s="35">
        <f>'T3 Inputs'!$B$28</f>
        <v>206</v>
      </c>
      <c r="E33" s="35">
        <f>C33*'T3 Inputs'!$B$33*D33</f>
        <v>285190997.05167001</v>
      </c>
      <c r="F33" s="505">
        <f t="shared" si="0"/>
        <v>314.36925835853174</v>
      </c>
    </row>
    <row r="34" spans="1:6" ht="13.5" thickBot="1" x14ac:dyDescent="0.25">
      <c r="A34" s="593" t="s">
        <v>0</v>
      </c>
      <c r="B34" s="594"/>
      <c r="C34" s="506">
        <f>SUM(C3:C33)</f>
        <v>13603.499368341687</v>
      </c>
      <c r="D34" s="506"/>
      <c r="E34" s="506">
        <f>SUM(E3:E33)</f>
        <v>8406962609.6351633</v>
      </c>
      <c r="F34" s="507">
        <f>SUM(F3:F33)</f>
        <v>9267.0898729670698</v>
      </c>
    </row>
    <row r="36" spans="1:6" ht="13.5" thickBot="1" x14ac:dyDescent="0.25"/>
    <row r="37" spans="1:6" ht="38.25" x14ac:dyDescent="0.2">
      <c r="A37" s="218" t="s">
        <v>130</v>
      </c>
      <c r="B37" s="162" t="s">
        <v>2</v>
      </c>
      <c r="C37" s="215" t="s">
        <v>45</v>
      </c>
      <c r="D37" s="215" t="s">
        <v>98</v>
      </c>
      <c r="E37" s="215" t="s">
        <v>104</v>
      </c>
      <c r="F37" s="164" t="s">
        <v>38</v>
      </c>
    </row>
    <row r="38" spans="1:6" x14ac:dyDescent="0.2">
      <c r="A38" s="226">
        <v>-1</v>
      </c>
      <c r="B38" s="71">
        <v>2018</v>
      </c>
      <c r="C38" s="7">
        <f t="shared" ref="C38:C69" si="3">C2</f>
        <v>0</v>
      </c>
      <c r="D38" s="35">
        <f t="shared" ref="D38:D69" si="4">D2</f>
        <v>206</v>
      </c>
      <c r="E38" s="7">
        <f>ROUND(E2,-3)</f>
        <v>0</v>
      </c>
      <c r="F38" s="170">
        <f>F2</f>
        <v>0</v>
      </c>
    </row>
    <row r="39" spans="1:6" x14ac:dyDescent="0.2">
      <c r="A39" s="226">
        <f>A38+1</f>
        <v>0</v>
      </c>
      <c r="B39" s="70">
        <f>B38+1</f>
        <v>2019</v>
      </c>
      <c r="C39" s="7">
        <f t="shared" si="3"/>
        <v>0</v>
      </c>
      <c r="D39" s="35">
        <f t="shared" si="4"/>
        <v>206</v>
      </c>
      <c r="E39" s="7">
        <f t="shared" ref="E39:E70" si="5">ROUND(E3,-3)</f>
        <v>0</v>
      </c>
      <c r="F39" s="170">
        <f t="shared" ref="F39:F70" si="6">F3</f>
        <v>0</v>
      </c>
    </row>
    <row r="40" spans="1:6" x14ac:dyDescent="0.2">
      <c r="A40" s="226">
        <f t="shared" ref="A40:B55" si="7">A39+1</f>
        <v>1</v>
      </c>
      <c r="B40" s="70">
        <f t="shared" si="7"/>
        <v>2020</v>
      </c>
      <c r="C40" s="7">
        <f t="shared" si="3"/>
        <v>399.5136</v>
      </c>
      <c r="D40" s="35">
        <f t="shared" si="4"/>
        <v>206</v>
      </c>
      <c r="E40" s="7">
        <f t="shared" si="5"/>
        <v>246899000</v>
      </c>
      <c r="F40" s="170">
        <f t="shared" si="6"/>
        <v>272.16000357148863</v>
      </c>
    </row>
    <row r="41" spans="1:6" x14ac:dyDescent="0.2">
      <c r="A41" s="226">
        <f t="shared" si="7"/>
        <v>2</v>
      </c>
      <c r="B41" s="70">
        <f t="shared" si="7"/>
        <v>2021</v>
      </c>
      <c r="C41" s="35">
        <f t="shared" si="3"/>
        <v>407.503872</v>
      </c>
      <c r="D41" s="35">
        <f t="shared" si="4"/>
        <v>206</v>
      </c>
      <c r="E41" s="35">
        <f t="shared" si="5"/>
        <v>251837000</v>
      </c>
      <c r="F41" s="177">
        <f t="shared" si="6"/>
        <v>277.6032036429184</v>
      </c>
    </row>
    <row r="42" spans="1:6" x14ac:dyDescent="0.2">
      <c r="A42" s="226">
        <f t="shared" si="7"/>
        <v>3</v>
      </c>
      <c r="B42" s="70">
        <f t="shared" si="7"/>
        <v>2022</v>
      </c>
      <c r="C42" s="35">
        <f t="shared" si="3"/>
        <v>415.65394944000002</v>
      </c>
      <c r="D42" s="35">
        <f t="shared" si="4"/>
        <v>206</v>
      </c>
      <c r="E42" s="35">
        <f t="shared" si="5"/>
        <v>256874000</v>
      </c>
      <c r="F42" s="177">
        <f t="shared" si="6"/>
        <v>283.15526771577674</v>
      </c>
    </row>
    <row r="43" spans="1:6" x14ac:dyDescent="0.2">
      <c r="A43" s="226">
        <f t="shared" si="7"/>
        <v>4</v>
      </c>
      <c r="B43" s="70">
        <f t="shared" si="7"/>
        <v>2023</v>
      </c>
      <c r="C43" s="35">
        <f t="shared" si="3"/>
        <v>423.96702842880001</v>
      </c>
      <c r="D43" s="35">
        <f t="shared" si="4"/>
        <v>206</v>
      </c>
      <c r="E43" s="35">
        <f t="shared" si="5"/>
        <v>262012000</v>
      </c>
      <c r="F43" s="177">
        <f t="shared" si="6"/>
        <v>288.81837307009226</v>
      </c>
    </row>
    <row r="44" spans="1:6" x14ac:dyDescent="0.2">
      <c r="A44" s="226">
        <f t="shared" si="7"/>
        <v>5</v>
      </c>
      <c r="B44" s="70">
        <f t="shared" si="7"/>
        <v>2024</v>
      </c>
      <c r="C44" s="35">
        <f t="shared" si="3"/>
        <v>432.446368997376</v>
      </c>
      <c r="D44" s="35">
        <f t="shared" si="4"/>
        <v>206</v>
      </c>
      <c r="E44" s="35">
        <f t="shared" si="5"/>
        <v>267252000</v>
      </c>
      <c r="F44" s="177">
        <f t="shared" si="6"/>
        <v>294.59474053149415</v>
      </c>
    </row>
    <row r="45" spans="1:6" x14ac:dyDescent="0.2">
      <c r="A45" s="226">
        <f t="shared" si="7"/>
        <v>6</v>
      </c>
      <c r="B45" s="70">
        <f t="shared" si="7"/>
        <v>2025</v>
      </c>
      <c r="C45" s="35">
        <f t="shared" si="3"/>
        <v>441.09529637732351</v>
      </c>
      <c r="D45" s="35">
        <f t="shared" si="4"/>
        <v>206</v>
      </c>
      <c r="E45" s="35">
        <f t="shared" si="5"/>
        <v>272597000</v>
      </c>
      <c r="F45" s="177">
        <f t="shared" si="6"/>
        <v>300.48663534212398</v>
      </c>
    </row>
    <row r="46" spans="1:6" x14ac:dyDescent="0.2">
      <c r="A46" s="226">
        <f t="shared" si="7"/>
        <v>7</v>
      </c>
      <c r="B46" s="70">
        <f t="shared" si="7"/>
        <v>2026</v>
      </c>
      <c r="C46" s="35">
        <f t="shared" si="3"/>
        <v>449.91720230487005</v>
      </c>
      <c r="D46" s="35">
        <f t="shared" si="4"/>
        <v>206</v>
      </c>
      <c r="E46" s="35">
        <f t="shared" si="5"/>
        <v>278049000</v>
      </c>
      <c r="F46" s="177">
        <f t="shared" si="6"/>
        <v>306.49636804896653</v>
      </c>
    </row>
    <row r="47" spans="1:6" x14ac:dyDescent="0.2">
      <c r="A47" s="226">
        <f t="shared" si="7"/>
        <v>8</v>
      </c>
      <c r="B47" s="70">
        <f t="shared" si="7"/>
        <v>2027</v>
      </c>
      <c r="C47" s="35">
        <f t="shared" si="3"/>
        <v>458.91554635096747</v>
      </c>
      <c r="D47" s="35">
        <f t="shared" si="4"/>
        <v>206</v>
      </c>
      <c r="E47" s="35">
        <f t="shared" si="5"/>
        <v>283610000</v>
      </c>
      <c r="F47" s="177">
        <f t="shared" si="6"/>
        <v>312.62629540994584</v>
      </c>
    </row>
    <row r="48" spans="1:6" x14ac:dyDescent="0.2">
      <c r="A48" s="226">
        <f t="shared" si="7"/>
        <v>9</v>
      </c>
      <c r="B48" s="70">
        <f t="shared" si="7"/>
        <v>2028</v>
      </c>
      <c r="C48" s="35">
        <f t="shared" si="3"/>
        <v>468.09385727798679</v>
      </c>
      <c r="D48" s="35">
        <f t="shared" si="4"/>
        <v>206</v>
      </c>
      <c r="E48" s="35">
        <f t="shared" si="5"/>
        <v>289282000</v>
      </c>
      <c r="F48" s="177">
        <f t="shared" si="6"/>
        <v>318.87882131814479</v>
      </c>
    </row>
    <row r="49" spans="1:6" x14ac:dyDescent="0.2">
      <c r="A49" s="226">
        <f t="shared" si="7"/>
        <v>10</v>
      </c>
      <c r="B49" s="70">
        <f t="shared" si="7"/>
        <v>2029</v>
      </c>
      <c r="C49" s="35">
        <f t="shared" si="3"/>
        <v>477.45573442354657</v>
      </c>
      <c r="D49" s="35">
        <f t="shared" si="4"/>
        <v>206</v>
      </c>
      <c r="E49" s="35">
        <f t="shared" si="5"/>
        <v>295068000</v>
      </c>
      <c r="F49" s="177">
        <f t="shared" si="6"/>
        <v>325.25639774450775</v>
      </c>
    </row>
    <row r="50" spans="1:6" x14ac:dyDescent="0.2">
      <c r="A50" s="226">
        <f t="shared" si="7"/>
        <v>11</v>
      </c>
      <c r="B50" s="70">
        <f t="shared" si="7"/>
        <v>2030</v>
      </c>
      <c r="C50" s="35">
        <f t="shared" si="3"/>
        <v>474.60484911201752</v>
      </c>
      <c r="D50" s="35">
        <f t="shared" si="4"/>
        <v>206</v>
      </c>
      <c r="E50" s="35">
        <f t="shared" si="5"/>
        <v>293306000</v>
      </c>
      <c r="F50" s="177">
        <f t="shared" si="6"/>
        <v>323.31429375463688</v>
      </c>
    </row>
    <row r="51" spans="1:6" x14ac:dyDescent="0.2">
      <c r="A51" s="226">
        <f t="shared" si="7"/>
        <v>12</v>
      </c>
      <c r="B51" s="70">
        <f t="shared" si="7"/>
        <v>2031</v>
      </c>
      <c r="C51" s="35">
        <f t="shared" si="3"/>
        <v>471.94494609425772</v>
      </c>
      <c r="D51" s="35">
        <f t="shared" si="4"/>
        <v>206</v>
      </c>
      <c r="E51" s="35">
        <f t="shared" si="5"/>
        <v>291662000</v>
      </c>
      <c r="F51" s="177">
        <f t="shared" si="6"/>
        <v>321.50229232386374</v>
      </c>
    </row>
    <row r="52" spans="1:6" x14ac:dyDescent="0.2">
      <c r="A52" s="226">
        <f t="shared" si="7"/>
        <v>13</v>
      </c>
      <c r="B52" s="70">
        <f t="shared" si="7"/>
        <v>2032</v>
      </c>
      <c r="C52" s="35">
        <f t="shared" si="3"/>
        <v>469.47984501614297</v>
      </c>
      <c r="D52" s="35">
        <f t="shared" si="4"/>
        <v>206</v>
      </c>
      <c r="E52" s="35">
        <f t="shared" si="5"/>
        <v>290139000</v>
      </c>
      <c r="F52" s="177">
        <f t="shared" si="6"/>
        <v>319.82299550337058</v>
      </c>
    </row>
    <row r="53" spans="1:6" x14ac:dyDescent="0.2">
      <c r="A53" s="226">
        <f t="shared" si="7"/>
        <v>14</v>
      </c>
      <c r="B53" s="70">
        <f t="shared" si="7"/>
        <v>2033</v>
      </c>
      <c r="C53" s="35">
        <f t="shared" si="3"/>
        <v>467.21344191646585</v>
      </c>
      <c r="D53" s="35">
        <f t="shared" si="4"/>
        <v>206</v>
      </c>
      <c r="E53" s="35">
        <f t="shared" si="5"/>
        <v>288738000</v>
      </c>
      <c r="F53" s="177">
        <f t="shared" si="6"/>
        <v>318.27905738536271</v>
      </c>
    </row>
    <row r="54" spans="1:6" x14ac:dyDescent="0.2">
      <c r="A54" s="226">
        <f t="shared" si="7"/>
        <v>15</v>
      </c>
      <c r="B54" s="70">
        <f t="shared" si="7"/>
        <v>2034</v>
      </c>
      <c r="C54" s="35">
        <f t="shared" si="3"/>
        <v>465.14971075479525</v>
      </c>
      <c r="D54" s="35">
        <f t="shared" si="4"/>
        <v>206</v>
      </c>
      <c r="E54" s="35">
        <f t="shared" si="5"/>
        <v>287463000</v>
      </c>
      <c r="F54" s="177">
        <f t="shared" si="6"/>
        <v>316.87318514388988</v>
      </c>
    </row>
    <row r="55" spans="1:6" x14ac:dyDescent="0.2">
      <c r="A55" s="226">
        <f t="shared" si="7"/>
        <v>16</v>
      </c>
      <c r="B55" s="70">
        <f t="shared" si="7"/>
        <v>2035</v>
      </c>
      <c r="C55" s="35">
        <f t="shared" si="3"/>
        <v>463.29270496989113</v>
      </c>
      <c r="D55" s="35">
        <f t="shared" si="4"/>
        <v>206</v>
      </c>
      <c r="E55" s="35">
        <f t="shared" si="5"/>
        <v>286315000</v>
      </c>
      <c r="F55" s="177">
        <f t="shared" si="6"/>
        <v>315.60814009648277</v>
      </c>
    </row>
    <row r="56" spans="1:6" x14ac:dyDescent="0.2">
      <c r="A56" s="226">
        <f t="shared" ref="A56:B69" si="8">A55+1</f>
        <v>17</v>
      </c>
      <c r="B56" s="70">
        <f t="shared" si="8"/>
        <v>2036</v>
      </c>
      <c r="C56" s="35">
        <f t="shared" si="3"/>
        <v>461.64655906928897</v>
      </c>
      <c r="D56" s="35">
        <f t="shared" si="4"/>
        <v>206</v>
      </c>
      <c r="E56" s="35">
        <f t="shared" si="5"/>
        <v>285298000</v>
      </c>
      <c r="F56" s="177">
        <f t="shared" si="6"/>
        <v>314.48673878702283</v>
      </c>
    </row>
    <row r="57" spans="1:6" x14ac:dyDescent="0.2">
      <c r="A57" s="226">
        <f t="shared" si="8"/>
        <v>18</v>
      </c>
      <c r="B57" s="70">
        <f t="shared" si="8"/>
        <v>2037</v>
      </c>
      <c r="C57" s="35">
        <f t="shared" si="3"/>
        <v>460.21549025067475</v>
      </c>
      <c r="D57" s="35">
        <f t="shared" si="4"/>
        <v>206</v>
      </c>
      <c r="E57" s="35">
        <f t="shared" si="5"/>
        <v>284413000</v>
      </c>
      <c r="F57" s="177">
        <f t="shared" si="6"/>
        <v>313.5118540902688</v>
      </c>
    </row>
    <row r="58" spans="1:6" x14ac:dyDescent="0.2">
      <c r="A58" s="226">
        <f t="shared" si="8"/>
        <v>19</v>
      </c>
      <c r="B58" s="70">
        <f t="shared" si="8"/>
        <v>2038</v>
      </c>
      <c r="C58" s="35">
        <f t="shared" si="3"/>
        <v>459.00380005568832</v>
      </c>
      <c r="D58" s="35">
        <f t="shared" si="4"/>
        <v>206</v>
      </c>
      <c r="E58" s="35">
        <f t="shared" si="5"/>
        <v>283664000</v>
      </c>
      <c r="F58" s="177">
        <f t="shared" si="6"/>
        <v>312.68641633847506</v>
      </c>
    </row>
    <row r="59" spans="1:6" x14ac:dyDescent="0.2">
      <c r="A59" s="226">
        <f t="shared" si="8"/>
        <v>20</v>
      </c>
      <c r="B59" s="70">
        <f t="shared" si="8"/>
        <v>2039</v>
      </c>
      <c r="C59" s="35">
        <f t="shared" si="3"/>
        <v>458.01587605680209</v>
      </c>
      <c r="D59" s="35">
        <f t="shared" si="4"/>
        <v>206</v>
      </c>
      <c r="E59" s="35">
        <f t="shared" si="5"/>
        <v>283054000</v>
      </c>
      <c r="F59" s="177">
        <f t="shared" si="6"/>
        <v>312.01341447054057</v>
      </c>
    </row>
    <row r="60" spans="1:6" x14ac:dyDescent="0.2">
      <c r="A60" s="226">
        <f t="shared" si="8"/>
        <v>21</v>
      </c>
      <c r="B60" s="70">
        <f t="shared" si="8"/>
        <v>2040</v>
      </c>
      <c r="C60" s="35">
        <f t="shared" si="3"/>
        <v>457.25619357793812</v>
      </c>
      <c r="D60" s="35">
        <f t="shared" si="4"/>
        <v>206</v>
      </c>
      <c r="E60" s="35">
        <f t="shared" si="5"/>
        <v>282584000</v>
      </c>
      <c r="F60" s="177">
        <f t="shared" si="6"/>
        <v>311.49589720414252</v>
      </c>
    </row>
    <row r="61" spans="1:6" x14ac:dyDescent="0.2">
      <c r="A61" s="226">
        <f t="shared" si="8"/>
        <v>22</v>
      </c>
      <c r="B61" s="70">
        <f t="shared" si="8"/>
        <v>2041</v>
      </c>
      <c r="C61" s="35">
        <f t="shared" si="3"/>
        <v>456.72931744949688</v>
      </c>
      <c r="D61" s="35">
        <f t="shared" si="4"/>
        <v>206</v>
      </c>
      <c r="E61" s="35">
        <f t="shared" si="5"/>
        <v>282259000</v>
      </c>
      <c r="F61" s="177">
        <f t="shared" si="6"/>
        <v>311.13697423131185</v>
      </c>
    </row>
    <row r="62" spans="1:6" x14ac:dyDescent="0.2">
      <c r="A62" s="226">
        <f t="shared" si="8"/>
        <v>23</v>
      </c>
      <c r="B62" s="70">
        <f t="shared" si="8"/>
        <v>2042</v>
      </c>
      <c r="C62" s="35">
        <f t="shared" si="3"/>
        <v>456.4399037984868</v>
      </c>
      <c r="D62" s="35">
        <f t="shared" si="4"/>
        <v>206</v>
      </c>
      <c r="E62" s="35">
        <f t="shared" si="5"/>
        <v>282080000</v>
      </c>
      <c r="F62" s="177">
        <f t="shared" si="6"/>
        <v>310.93981743791971</v>
      </c>
    </row>
    <row r="63" spans="1:6" x14ac:dyDescent="0.2">
      <c r="A63" s="226">
        <f t="shared" si="8"/>
        <v>24</v>
      </c>
      <c r="B63" s="70">
        <f t="shared" si="8"/>
        <v>2043</v>
      </c>
      <c r="C63" s="35">
        <f t="shared" si="3"/>
        <v>456.39270187445652</v>
      </c>
      <c r="D63" s="35">
        <f t="shared" si="4"/>
        <v>206</v>
      </c>
      <c r="E63" s="35">
        <f t="shared" si="5"/>
        <v>282051000</v>
      </c>
      <c r="F63" s="177">
        <f t="shared" si="6"/>
        <v>310.90766214755502</v>
      </c>
    </row>
    <row r="64" spans="1:6" x14ac:dyDescent="0.2">
      <c r="A64" s="226">
        <f t="shared" si="8"/>
        <v>25</v>
      </c>
      <c r="B64" s="70">
        <f t="shared" si="8"/>
        <v>2044</v>
      </c>
      <c r="C64" s="35">
        <f t="shared" si="3"/>
        <v>456.59255591194568</v>
      </c>
      <c r="D64" s="35">
        <f t="shared" si="4"/>
        <v>206</v>
      </c>
      <c r="E64" s="35">
        <f t="shared" si="5"/>
        <v>282174000</v>
      </c>
      <c r="F64" s="177">
        <f t="shared" si="6"/>
        <v>311.04380839027817</v>
      </c>
    </row>
    <row r="65" spans="1:6" x14ac:dyDescent="0.2">
      <c r="A65" s="226">
        <f t="shared" si="8"/>
        <v>26</v>
      </c>
      <c r="B65" s="70">
        <f t="shared" si="8"/>
        <v>2045</v>
      </c>
      <c r="C65" s="35">
        <f t="shared" si="3"/>
        <v>457.04440703018457</v>
      </c>
      <c r="D65" s="35">
        <f t="shared" si="4"/>
        <v>206</v>
      </c>
      <c r="E65" s="35">
        <f t="shared" si="5"/>
        <v>282453000</v>
      </c>
      <c r="F65" s="177">
        <f t="shared" si="6"/>
        <v>311.35162219675107</v>
      </c>
    </row>
    <row r="66" spans="1:6" x14ac:dyDescent="0.2">
      <c r="A66" s="226">
        <f t="shared" si="8"/>
        <v>27</v>
      </c>
      <c r="B66" s="70">
        <f t="shared" si="8"/>
        <v>2046</v>
      </c>
      <c r="C66" s="35">
        <f t="shared" si="3"/>
        <v>457.75329517078831</v>
      </c>
      <c r="D66" s="35">
        <f t="shared" si="4"/>
        <v>206</v>
      </c>
      <c r="E66" s="35">
        <f t="shared" si="5"/>
        <v>282892000</v>
      </c>
      <c r="F66" s="177">
        <f t="shared" si="6"/>
        <v>311.83453691824866</v>
      </c>
    </row>
    <row r="67" spans="1:6" x14ac:dyDescent="0.2">
      <c r="A67" s="226">
        <f t="shared" si="8"/>
        <v>28</v>
      </c>
      <c r="B67" s="70">
        <f t="shared" si="8"/>
        <v>2047</v>
      </c>
      <c r="C67" s="35">
        <f t="shared" si="3"/>
        <v>458.72436107420401</v>
      </c>
      <c r="D67" s="35">
        <f t="shared" si="4"/>
        <v>206</v>
      </c>
      <c r="E67" s="35">
        <f t="shared" si="5"/>
        <v>283492000</v>
      </c>
      <c r="F67" s="177">
        <f t="shared" si="6"/>
        <v>312.49605457307132</v>
      </c>
    </row>
    <row r="68" spans="1:6" x14ac:dyDescent="0.2">
      <c r="A68" s="226">
        <f t="shared" si="8"/>
        <v>29</v>
      </c>
      <c r="B68" s="70">
        <f t="shared" si="8"/>
        <v>2048</v>
      </c>
      <c r="C68" s="35">
        <f t="shared" si="3"/>
        <v>459.96284829568816</v>
      </c>
      <c r="D68" s="35">
        <f t="shared" si="4"/>
        <v>206</v>
      </c>
      <c r="E68" s="35">
        <f t="shared" si="5"/>
        <v>284257000</v>
      </c>
      <c r="F68" s="177">
        <f t="shared" si="6"/>
        <v>313.33974721988579</v>
      </c>
    </row>
    <row r="69" spans="1:6" x14ac:dyDescent="0.2">
      <c r="A69" s="226">
        <f t="shared" si="8"/>
        <v>30</v>
      </c>
      <c r="B69" s="70">
        <f t="shared" si="8"/>
        <v>2049</v>
      </c>
      <c r="C69" s="35">
        <f t="shared" si="3"/>
        <v>461.47410526160195</v>
      </c>
      <c r="D69" s="35">
        <f t="shared" si="4"/>
        <v>206</v>
      </c>
      <c r="E69" s="35">
        <f t="shared" si="5"/>
        <v>285191000</v>
      </c>
      <c r="F69" s="177">
        <f t="shared" si="6"/>
        <v>314.36925835853174</v>
      </c>
    </row>
    <row r="70" spans="1:6" ht="13.5" thickBot="1" x14ac:dyDescent="0.25">
      <c r="A70" s="593" t="s">
        <v>0</v>
      </c>
      <c r="B70" s="594"/>
      <c r="C70" s="178">
        <f>ROUND(C34,-3)</f>
        <v>14000</v>
      </c>
      <c r="D70" s="178"/>
      <c r="E70" s="178">
        <f t="shared" si="5"/>
        <v>8406963000</v>
      </c>
      <c r="F70" s="179">
        <f t="shared" si="6"/>
        <v>9267.0898729670698</v>
      </c>
    </row>
  </sheetData>
  <mergeCells count="2">
    <mergeCell ref="A34:B34"/>
    <mergeCell ref="A70:B70"/>
  </mergeCells>
  <pageMargins left="0.7" right="0.7" top="0.75" bottom="0.75" header="0.3" footer="0.3"/>
  <pageSetup orientation="portrait" horizontalDpi="90" verticalDpi="90"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T1 Impact Matrix</vt:lpstr>
      <vt:lpstr>T2 Summary</vt:lpstr>
      <vt:lpstr>T3 Inputs</vt:lpstr>
      <vt:lpstr>T4 Globalplex Cargo</vt:lpstr>
      <vt:lpstr>T5 Avoided Truck Miles</vt:lpstr>
      <vt:lpstr>T6 Truck Travel Time Savings</vt:lpstr>
      <vt:lpstr>T7 Fuel Savings</vt:lpstr>
      <vt:lpstr>T8 Crane Reliability</vt:lpstr>
      <vt:lpstr>T9 Reduced Bunker Fuel</vt:lpstr>
      <vt:lpstr>T10 Reduced Vessel Emissions</vt:lpstr>
      <vt:lpstr>T11 Reduced Truck Emissions</vt:lpstr>
      <vt:lpstr>T12 SOGR1</vt:lpstr>
      <vt:lpstr>T13 SOGR2</vt:lpstr>
      <vt:lpstr>T14 SOGR3</vt:lpstr>
      <vt:lpstr>T15 EC1</vt:lpstr>
      <vt:lpstr>T16 EC2</vt:lpstr>
      <vt:lpstr>T17EC3</vt:lpstr>
      <vt:lpstr>T18 EC4</vt:lpstr>
      <vt:lpstr>T19EC5</vt:lpstr>
      <vt:lpstr>T20 QOL1</vt:lpstr>
      <vt:lpstr>T21 Sus1</vt:lpstr>
      <vt:lpstr>T22 Sus2</vt:lpstr>
      <vt:lpstr>T23 SAF1</vt:lpstr>
      <vt:lpstr>T24 Cost Estimates</vt:lpstr>
      <vt:lpstr>T25 Costs</vt:lpstr>
      <vt:lpstr>T26 Residual Value</vt:lpstr>
      <vt:lpstr>T27 Capital Expenditure</vt:lpstr>
      <vt:lpstr>T28 JobYears Created</vt:lpstr>
      <vt:lpstr>T29 Socioeconomics</vt:lpstr>
      <vt:lpstr>T30 CPI</vt:lpstr>
      <vt:lpstr>T31 Env Input</vt:lpstr>
      <vt:lpstr>ED Perm Employment</vt:lpstr>
    </vt:vector>
  </TitlesOfParts>
  <Company>URS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alex_vialou</dc:creator>
  <cp:lastModifiedBy>Alexandra Hernandez</cp:lastModifiedBy>
  <cp:lastPrinted>2017-10-17T16:42:58Z</cp:lastPrinted>
  <dcterms:created xsi:type="dcterms:W3CDTF">2010-08-12T20:59:55Z</dcterms:created>
  <dcterms:modified xsi:type="dcterms:W3CDTF">2017-10-23T16:55:15Z</dcterms:modified>
</cp:coreProperties>
</file>